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2024\2024 WA Elec and Gas GRC\Rebuttal Testimony\9) Miller\"/>
    </mc:Choice>
  </mc:AlternateContent>
  <xr:revisionPtr revIDLastSave="0" documentId="13_ncr:1_{9940621A-E564-4252-B1C8-E536923D01D1}" xr6:coauthVersionLast="47" xr6:coauthVersionMax="47" xr10:uidLastSave="{00000000-0000-0000-0000-000000000000}"/>
  <bookViews>
    <workbookView xWindow="-2700" yWindow="-16320" windowWidth="29040" windowHeight="15990" firstSheet="1" activeTab="2" xr2:uid="{00000000-000D-0000-FFFF-FFFF00000000}"/>
  </bookViews>
  <sheets>
    <sheet name="Pres &amp; Prop Rev" sheetId="1" r:id="rId1"/>
    <sheet name="Rate Design" sheetId="14" r:id="rId2"/>
    <sheet name="JDM-9 Pg 1" sheetId="18" r:id="rId3"/>
    <sheet name="JDM-9 Pg 3" sheetId="20" r:id="rId4"/>
    <sheet name="Rate Spread GRC" sheetId="41" r:id="rId5"/>
    <sheet name="Colstrip" sheetId="42" r:id="rId6"/>
    <sheet name="Bill Determ" sheetId="5" r:id="rId7"/>
    <sheet name="Sp Cnt Exh B" sheetId="45" r:id="rId8"/>
    <sheet name="Bill Impact" sheetId="44" r:id="rId9"/>
    <sheet name="WA Sch 25" sheetId="6" r:id="rId10"/>
    <sheet name="Lighting summary" sheetId="7" r:id="rId11"/>
    <sheet name="St Lts" sheetId="9" r:id="rId12"/>
    <sheet name="Area Lts" sheetId="10" r:id="rId13"/>
    <sheet name="Capital Recovery Factor" sheetId="46" r:id="rId14"/>
    <sheet name="Block Data" sheetId="27" r:id="rId15"/>
    <sheet name="REVRUNS 12ME0623" sheetId="37" r:id="rId16"/>
  </sheets>
  <definedNames>
    <definedName name="_xlnm._FilterDatabase" localSheetId="12" hidden="1">'Area Lts'!$D$8:$D$95</definedName>
    <definedName name="_xlnm._FilterDatabase" localSheetId="11" hidden="1">'St Lts'!$D$7:$D$140</definedName>
    <definedName name="Base1_Billing2">'Pres &amp; Prop Rev'!$Q$8</definedName>
    <definedName name="ERM">'Rate Design'!$D$45</definedName>
    <definedName name="_xlnm.Extract" localSheetId="12">'Area Lts'!#REF!</definedName>
    <definedName name="_xlnm.Print_Area" localSheetId="12">'Area Lts'!$I$1:$AH$56</definedName>
    <definedName name="_xlnm.Print_Area" localSheetId="6">'Bill Determ'!$A$1:$G$84</definedName>
    <definedName name="_xlnm.Print_Area" localSheetId="14">'Block Data'!$A$3:$O$155</definedName>
    <definedName name="_xlnm.Print_Area" localSheetId="2">'JDM-9 Pg 1'!$A$1:$R$69</definedName>
    <definedName name="_xlnm.Print_Area" localSheetId="3">'JDM-9 Pg 3'!$A$1:$P$116</definedName>
    <definedName name="_xlnm.Print_Area" localSheetId="10">'Lighting summary'!$B$1:$J$24</definedName>
    <definedName name="_xlnm.Print_Area" localSheetId="0">'Pres &amp; Prop Rev'!$A$1:$L$295</definedName>
    <definedName name="_xlnm.Print_Area" localSheetId="1">'Rate Design'!$A$49:$M$107</definedName>
    <definedName name="_xlnm.Print_Area" localSheetId="4">'Rate Spread GRC'!$A$3:$J$33</definedName>
    <definedName name="_xlnm.Print_Area" localSheetId="15">'REVRUNS 12ME0623'!$A$332:$P$407</definedName>
    <definedName name="_xlnm.Print_Area" localSheetId="11">'St Lts'!$I$1:$AC$107</definedName>
    <definedName name="_xlnm.Print_Area" localSheetId="9">'WA Sch 25'!$A$1:$S$102</definedName>
    <definedName name="_xlnm.Print_Titles" localSheetId="12">'Area Lts'!$I:$L</definedName>
    <definedName name="_xlnm.Print_Titles" localSheetId="1">'Rate Design'!$1:$2</definedName>
    <definedName name="_xlnm.Print_Titles" localSheetId="11">'St Lts'!$I:$L</definedName>
    <definedName name="Print1" localSheetId="12">'Area Lts'!$M$1:$T$56</definedName>
    <definedName name="Print1" localSheetId="11">'St Lts'!$M$1:$AC$106</definedName>
    <definedName name="Print1">'St Lts'!$M$1:$AC$108</definedName>
    <definedName name="Print2" localSheetId="12">'Area Lts'!$AA$1:$AH$56</definedName>
    <definedName name="Print2" localSheetId="11">'St Lts'!$AE$1:$AU$106</definedName>
    <definedName name="Print2">'St Lts'!$AE$1:$AU$106</definedName>
    <definedName name="PrintHeader" localSheetId="0">'Pres &amp; Prop Rev'!$S$6</definedName>
    <definedName name="Rates_Base_Present">'Rate Design'!$D$4:$M$11</definedName>
    <definedName name="Rates_Base_Proposed">'Rate Design'!$D$26:$M$33</definedName>
    <definedName name="Rates_Billing_Present">'Rate Design'!$D$14:$M$21</definedName>
    <definedName name="Rates_Billing_Proposed">'Rate Design'!$D$36:$M$43</definedName>
    <definedName name="Sch25_Annual_excess_kva">'WA Sch 25'!$P$70:$P$92</definedName>
    <definedName name="Sch25_Annual_kva">'WA Sch 25'!$P$45:$P$67</definedName>
    <definedName name="Sch25_Annual_kW">'WA Sch 25'!$P$70:$P$92</definedName>
    <definedName name="Sch25_Annual_kWh">'WA Sch 25'!$P$4:$P$35</definedName>
    <definedName name="Sch25_kWh">'WA Sch 25'!$D$4:$O$35</definedName>
    <definedName name="Sch25_n">'WA Sch 25'!$A$4:$A$35</definedName>
    <definedName name="Sch25_nD">'WA Sch 25'!$A$70:$A$92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5" i="14" l="1"/>
  <c r="K86" i="14"/>
  <c r="K16" i="14"/>
  <c r="K15" i="14"/>
  <c r="J17" i="14"/>
  <c r="J16" i="14"/>
  <c r="J15" i="14"/>
  <c r="I16" i="14"/>
  <c r="H16" i="14"/>
  <c r="H15" i="14"/>
  <c r="G16" i="14"/>
  <c r="G15" i="14"/>
  <c r="F16" i="14"/>
  <c r="F15" i="14"/>
  <c r="E16" i="14"/>
  <c r="E15" i="14"/>
  <c r="D16" i="14"/>
  <c r="D17" i="14"/>
  <c r="D15" i="14"/>
  <c r="O21" i="46"/>
  <c r="K61" i="20" l="1"/>
  <c r="K62" i="20" s="1"/>
  <c r="P60" i="20"/>
  <c r="P61" i="20" s="1"/>
  <c r="O60" i="20"/>
  <c r="O61" i="20" s="1"/>
  <c r="K55" i="20"/>
  <c r="P54" i="20"/>
  <c r="P55" i="20" s="1"/>
  <c r="O54" i="20"/>
  <c r="O55" i="20" s="1"/>
  <c r="K29" i="20"/>
  <c r="K30" i="20" s="1"/>
  <c r="P28" i="20"/>
  <c r="P29" i="20" s="1"/>
  <c r="O28" i="20"/>
  <c r="O29" i="20" s="1"/>
  <c r="K23" i="20"/>
  <c r="P22" i="20"/>
  <c r="P23" i="20" s="1"/>
  <c r="O22" i="20"/>
  <c r="O23" i="20" s="1"/>
  <c r="L15" i="42" l="1"/>
  <c r="L110" i="20" l="1"/>
  <c r="L112" i="20" s="1"/>
  <c r="L96" i="20"/>
  <c r="L98" i="20" s="1"/>
  <c r="L82" i="20"/>
  <c r="L83" i="20" s="1"/>
  <c r="L66" i="20"/>
  <c r="L67" i="20" s="1"/>
  <c r="L35" i="20"/>
  <c r="L36" i="20" s="1"/>
  <c r="L15" i="20"/>
  <c r="M46" i="18"/>
  <c r="M48" i="18"/>
  <c r="M50" i="18"/>
  <c r="M52" i="18"/>
  <c r="M54" i="18"/>
  <c r="M56" i="18"/>
  <c r="M58" i="18"/>
  <c r="M44" i="18"/>
  <c r="M42" i="18"/>
  <c r="I44" i="18"/>
  <c r="I46" i="18"/>
  <c r="I48" i="18"/>
  <c r="I50" i="18"/>
  <c r="I52" i="18"/>
  <c r="I54" i="18"/>
  <c r="I56" i="18"/>
  <c r="I58" i="18"/>
  <c r="I42" i="18"/>
  <c r="L16" i="7"/>
  <c r="J68" i="14"/>
  <c r="I68" i="14"/>
  <c r="G68" i="14"/>
  <c r="E68" i="14"/>
  <c r="K61" i="14"/>
  <c r="L17" i="20" l="1"/>
  <c r="L32" i="44"/>
  <c r="L33" i="44"/>
  <c r="L31" i="44"/>
  <c r="L23" i="20"/>
  <c r="L30" i="20"/>
  <c r="L22" i="20"/>
  <c r="L29" i="20"/>
  <c r="L28" i="20"/>
  <c r="L46" i="20"/>
  <c r="L84" i="20"/>
  <c r="L16" i="20"/>
  <c r="L76" i="20"/>
  <c r="L47" i="20"/>
  <c r="L77" i="20"/>
  <c r="L111" i="20"/>
  <c r="L97" i="20"/>
  <c r="S4" i="10"/>
  <c r="T4" i="10"/>
  <c r="S5" i="10"/>
  <c r="T5" i="10"/>
  <c r="S6" i="10"/>
  <c r="T6" i="10"/>
  <c r="S7" i="10"/>
  <c r="T7" i="10"/>
  <c r="S8" i="10"/>
  <c r="T8" i="10"/>
  <c r="S9" i="10"/>
  <c r="T9" i="10"/>
  <c r="S10" i="10"/>
  <c r="T10" i="10"/>
  <c r="S11" i="10"/>
  <c r="T11" i="10"/>
  <c r="S12" i="10"/>
  <c r="T12" i="10"/>
  <c r="S13" i="10"/>
  <c r="T13" i="10"/>
  <c r="S14" i="10"/>
  <c r="T14" i="10"/>
  <c r="S15" i="10"/>
  <c r="T15" i="10"/>
  <c r="S16" i="10"/>
  <c r="T16" i="10"/>
  <c r="S17" i="10"/>
  <c r="T17" i="10"/>
  <c r="S18" i="10"/>
  <c r="T18" i="10"/>
  <c r="S19" i="10"/>
  <c r="T19" i="10"/>
  <c r="S20" i="10"/>
  <c r="T20" i="10"/>
  <c r="S21" i="10"/>
  <c r="T21" i="10"/>
  <c r="S22" i="10"/>
  <c r="T22" i="10"/>
  <c r="S23" i="10"/>
  <c r="T23" i="10"/>
  <c r="S24" i="10"/>
  <c r="T24" i="10"/>
  <c r="S25" i="10"/>
  <c r="T25" i="10"/>
  <c r="S26" i="10"/>
  <c r="T26" i="10"/>
  <c r="S27" i="10"/>
  <c r="T27" i="10"/>
  <c r="S28" i="10"/>
  <c r="T28" i="10"/>
  <c r="S29" i="10"/>
  <c r="T29" i="10"/>
  <c r="S30" i="10"/>
  <c r="T30" i="10"/>
  <c r="S31" i="10"/>
  <c r="T31" i="10"/>
  <c r="S32" i="10"/>
  <c r="T32" i="10"/>
  <c r="S33" i="10"/>
  <c r="T33" i="10"/>
  <c r="S34" i="10"/>
  <c r="T34" i="10"/>
  <c r="S35" i="10"/>
  <c r="T35" i="10"/>
  <c r="S36" i="10"/>
  <c r="T36" i="10"/>
  <c r="S37" i="10"/>
  <c r="T37" i="10"/>
  <c r="S38" i="10"/>
  <c r="T38" i="10"/>
  <c r="S39" i="10"/>
  <c r="T39" i="10"/>
  <c r="S40" i="10"/>
  <c r="T40" i="10"/>
  <c r="S41" i="10"/>
  <c r="T41" i="10"/>
  <c r="S42" i="10"/>
  <c r="T42" i="10"/>
  <c r="S43" i="10"/>
  <c r="T43" i="10"/>
  <c r="S44" i="10"/>
  <c r="T44" i="10"/>
  <c r="S45" i="10"/>
  <c r="T45" i="10"/>
  <c r="S46" i="10"/>
  <c r="T46" i="10"/>
  <c r="S47" i="10"/>
  <c r="T47" i="10"/>
  <c r="S48" i="10"/>
  <c r="T48" i="10"/>
  <c r="S49" i="10"/>
  <c r="T49" i="10"/>
  <c r="S50" i="10"/>
  <c r="T50" i="10"/>
  <c r="S51" i="10"/>
  <c r="T51" i="10"/>
  <c r="S52" i="10"/>
  <c r="T52" i="10"/>
  <c r="S53" i="10"/>
  <c r="T53" i="10"/>
  <c r="L62" i="20" l="1"/>
  <c r="L54" i="20"/>
  <c r="L61" i="20"/>
  <c r="L60" i="20"/>
  <c r="L55" i="20"/>
  <c r="B95" i="1"/>
  <c r="J79" i="41" l="1"/>
  <c r="E61" i="41"/>
  <c r="D101" i="14" l="1"/>
  <c r="D403" i="37" l="1"/>
  <c r="H19" i="14" l="1"/>
  <c r="F74" i="20" s="1"/>
  <c r="L19" i="7"/>
  <c r="L15" i="7"/>
  <c r="L14" i="7"/>
  <c r="J200" i="1"/>
  <c r="K198" i="1"/>
  <c r="V13" i="45" l="1"/>
  <c r="V11" i="45"/>
  <c r="T13" i="45"/>
  <c r="T11" i="45"/>
  <c r="E22" i="45"/>
  <c r="E21" i="45"/>
  <c r="G116" i="6"/>
  <c r="E17" i="45"/>
  <c r="E13" i="45"/>
  <c r="E12" i="45"/>
  <c r="E11" i="45"/>
  <c r="O34" i="46" l="1"/>
  <c r="O36" i="46" s="1"/>
  <c r="I34" i="46"/>
  <c r="I36" i="46" s="1"/>
  <c r="D34" i="46"/>
  <c r="D36" i="46" s="1"/>
  <c r="I21" i="46"/>
  <c r="D21" i="46"/>
  <c r="M16" i="46"/>
  <c r="G16" i="46"/>
  <c r="B16" i="46"/>
  <c r="O15" i="46"/>
  <c r="O24" i="46" s="1"/>
  <c r="I15" i="46"/>
  <c r="I24" i="46" s="1"/>
  <c r="D15" i="46"/>
  <c r="D24" i="46" s="1"/>
  <c r="O14" i="46"/>
  <c r="O26" i="46" s="1"/>
  <c r="I14" i="46"/>
  <c r="I26" i="46" s="1"/>
  <c r="D14" i="46"/>
  <c r="D26" i="46" s="1"/>
  <c r="O13" i="46"/>
  <c r="O25" i="46" s="1"/>
  <c r="I13" i="46"/>
  <c r="I25" i="46" s="1"/>
  <c r="D13" i="46"/>
  <c r="D16" i="46" s="1"/>
  <c r="I11" i="45"/>
  <c r="I12" i="45"/>
  <c r="M12" i="45" s="1"/>
  <c r="I13" i="45"/>
  <c r="F16" i="45"/>
  <c r="I16" i="45"/>
  <c r="J16" i="45"/>
  <c r="F17" i="45"/>
  <c r="I17" i="45"/>
  <c r="J17" i="45" s="1"/>
  <c r="F20" i="45"/>
  <c r="I20" i="45"/>
  <c r="J20" i="45"/>
  <c r="F21" i="45"/>
  <c r="I21" i="45"/>
  <c r="J21" i="45" s="1"/>
  <c r="F22" i="45"/>
  <c r="I22" i="45"/>
  <c r="J22" i="45"/>
  <c r="M11" i="45"/>
  <c r="N12" i="45"/>
  <c r="N13" i="45"/>
  <c r="X13" i="45"/>
  <c r="X11" i="45"/>
  <c r="A18" i="44"/>
  <c r="O27" i="46" l="1"/>
  <c r="M40" i="46" s="1"/>
  <c r="O16" i="46"/>
  <c r="M14" i="45"/>
  <c r="N11" i="45"/>
  <c r="N14" i="45" s="1"/>
  <c r="X16" i="45"/>
  <c r="I27" i="46"/>
  <c r="G40" i="46" s="1"/>
  <c r="I16" i="46"/>
  <c r="D25" i="46"/>
  <c r="D27" i="46" s="1"/>
  <c r="B40" i="46" s="1"/>
  <c r="J29" i="41" l="1"/>
  <c r="J27" i="41"/>
  <c r="J25" i="41"/>
  <c r="J23" i="41"/>
  <c r="J21" i="41"/>
  <c r="J19" i="41"/>
  <c r="J17" i="41"/>
  <c r="J15" i="41"/>
  <c r="R17" i="7"/>
  <c r="S17" i="7" s="1"/>
  <c r="S16" i="7"/>
  <c r="R16" i="7"/>
  <c r="R15" i="7"/>
  <c r="S15" i="7" s="1"/>
  <c r="S14" i="7"/>
  <c r="R14" i="7"/>
  <c r="R13" i="7"/>
  <c r="S13" i="7" s="1"/>
  <c r="S12" i="7"/>
  <c r="R12" i="7"/>
  <c r="R11" i="7"/>
  <c r="S11" i="7" s="1"/>
  <c r="S18" i="7" s="1"/>
  <c r="F91" i="18"/>
  <c r="I91" i="18" s="1"/>
  <c r="F82" i="18"/>
  <c r="I82" i="18" s="1"/>
  <c r="J31" i="41"/>
  <c r="E19" i="14"/>
  <c r="F19" i="14"/>
  <c r="G19" i="14"/>
  <c r="I19" i="14"/>
  <c r="J19" i="14"/>
  <c r="K19" i="14"/>
  <c r="E20" i="14"/>
  <c r="F20" i="14"/>
  <c r="G20" i="14"/>
  <c r="H20" i="14"/>
  <c r="I20" i="14"/>
  <c r="J20" i="14"/>
  <c r="K20" i="14"/>
  <c r="D20" i="14"/>
  <c r="D19" i="14"/>
  <c r="F85" i="18" l="1"/>
  <c r="I85" i="18" s="1"/>
  <c r="F97" i="18"/>
  <c r="I97" i="18" s="1"/>
  <c r="F94" i="18"/>
  <c r="I94" i="18" s="1"/>
  <c r="F88" i="18"/>
  <c r="I88" i="18" s="1"/>
  <c r="F100" i="18"/>
  <c r="I100" i="18" s="1"/>
  <c r="J33" i="41"/>
  <c r="D74" i="20" l="1"/>
  <c r="L29" i="42"/>
  <c r="L31" i="42"/>
  <c r="J33" i="42"/>
  <c r="J31" i="42"/>
  <c r="J29" i="42"/>
  <c r="J27" i="42"/>
  <c r="J25" i="42"/>
  <c r="J23" i="42"/>
  <c r="J21" i="42"/>
  <c r="J19" i="42"/>
  <c r="J17" i="42"/>
  <c r="J15" i="42"/>
  <c r="F31" i="42"/>
  <c r="F29" i="42"/>
  <c r="F27" i="42"/>
  <c r="F25" i="42"/>
  <c r="F23" i="42"/>
  <c r="F21" i="42"/>
  <c r="F19" i="42"/>
  <c r="F17" i="42"/>
  <c r="F15" i="42"/>
  <c r="E64" i="41" l="1"/>
  <c r="E47" i="41"/>
  <c r="H26" i="14"/>
  <c r="H65" i="14"/>
  <c r="J76" i="41"/>
  <c r="J74" i="41"/>
  <c r="Q31" i="41"/>
  <c r="Q29" i="41"/>
  <c r="Q27" i="41"/>
  <c r="Q25" i="41"/>
  <c r="Q23" i="41"/>
  <c r="Q21" i="41"/>
  <c r="Q19" i="41"/>
  <c r="Q17" i="41"/>
  <c r="Q15" i="41"/>
  <c r="Q33" i="41" l="1"/>
  <c r="C47" i="5" l="1"/>
  <c r="B47" i="5"/>
  <c r="C25" i="5"/>
  <c r="B25" i="5"/>
  <c r="AQ101" i="9" l="1"/>
  <c r="AS101" i="9"/>
  <c r="AT101" i="9"/>
  <c r="AU101" i="9"/>
  <c r="AE101" i="9"/>
  <c r="AF101" i="9"/>
  <c r="AG101" i="9"/>
  <c r="AH101" i="9"/>
  <c r="AI101" i="9"/>
  <c r="E104" i="6" l="1"/>
  <c r="F104" i="6"/>
  <c r="G104" i="6"/>
  <c r="H104" i="6"/>
  <c r="I104" i="6"/>
  <c r="J104" i="6"/>
  <c r="K104" i="6"/>
  <c r="L104" i="6"/>
  <c r="M104" i="6"/>
  <c r="N104" i="6"/>
  <c r="O104" i="6"/>
  <c r="D104" i="6"/>
  <c r="E99" i="6"/>
  <c r="F99" i="6"/>
  <c r="G99" i="6"/>
  <c r="H99" i="6"/>
  <c r="I99" i="6"/>
  <c r="J99" i="6"/>
  <c r="K99" i="6"/>
  <c r="L99" i="6"/>
  <c r="M99" i="6"/>
  <c r="N99" i="6"/>
  <c r="O99" i="6"/>
  <c r="D99" i="6"/>
  <c r="B160" i="6"/>
  <c r="B161" i="6"/>
  <c r="B162" i="6"/>
  <c r="B163" i="6"/>
  <c r="B164" i="6"/>
  <c r="B165" i="6"/>
  <c r="B166" i="6"/>
  <c r="B167" i="6"/>
  <c r="B168" i="6"/>
  <c r="B169" i="6"/>
  <c r="B170" i="6"/>
  <c r="B171" i="6"/>
  <c r="B172" i="6"/>
  <c r="B173" i="6"/>
  <c r="B174" i="6"/>
  <c r="B175" i="6"/>
  <c r="B176" i="6"/>
  <c r="B177" i="6"/>
  <c r="B178" i="6"/>
  <c r="B179" i="6"/>
  <c r="B159" i="6"/>
  <c r="B133" i="6"/>
  <c r="B134" i="6"/>
  <c r="B135" i="6"/>
  <c r="B136" i="6"/>
  <c r="B137" i="6"/>
  <c r="B138" i="6"/>
  <c r="B139" i="6"/>
  <c r="B140" i="6"/>
  <c r="B141" i="6"/>
  <c r="B142" i="6"/>
  <c r="B143" i="6"/>
  <c r="B144" i="6"/>
  <c r="B145" i="6"/>
  <c r="B146" i="6"/>
  <c r="B147" i="6"/>
  <c r="B148" i="6"/>
  <c r="B149" i="6"/>
  <c r="B150" i="6"/>
  <c r="B151" i="6"/>
  <c r="B152" i="6"/>
  <c r="B132" i="6"/>
  <c r="O98" i="27" l="1"/>
  <c r="P98" i="27" s="1"/>
  <c r="F47" i="5"/>
  <c r="F35" i="5"/>
  <c r="F15" i="5"/>
  <c r="F25" i="5"/>
  <c r="G42" i="7"/>
  <c r="P45" i="27"/>
  <c r="I98" i="27"/>
  <c r="J98" i="27"/>
  <c r="K98" i="27"/>
  <c r="L98" i="27"/>
  <c r="M98" i="27"/>
  <c r="N98" i="27"/>
  <c r="H98" i="27"/>
  <c r="D98" i="27"/>
  <c r="E98" i="27"/>
  <c r="F98" i="27"/>
  <c r="G98" i="27"/>
  <c r="C98" i="27"/>
  <c r="I45" i="27"/>
  <c r="J45" i="27"/>
  <c r="K45" i="27"/>
  <c r="L45" i="27"/>
  <c r="M45" i="27"/>
  <c r="N45" i="27"/>
  <c r="H45" i="27"/>
  <c r="E45" i="27"/>
  <c r="F45" i="27"/>
  <c r="G45" i="27"/>
  <c r="D45" i="27"/>
  <c r="D25" i="27"/>
  <c r="C45" i="27"/>
  <c r="D397" i="37" l="1"/>
  <c r="D198" i="1"/>
  <c r="B83" i="6"/>
  <c r="B87" i="6"/>
  <c r="B46" i="6"/>
  <c r="B71" i="6" s="1"/>
  <c r="B47" i="6"/>
  <c r="B72" i="6" s="1"/>
  <c r="B48" i="6"/>
  <c r="B73" i="6" s="1"/>
  <c r="B49" i="6"/>
  <c r="B74" i="6" s="1"/>
  <c r="B50" i="6"/>
  <c r="B75" i="6" s="1"/>
  <c r="B51" i="6"/>
  <c r="B76" i="6" s="1"/>
  <c r="B52" i="6"/>
  <c r="B77" i="6" s="1"/>
  <c r="B53" i="6"/>
  <c r="B78" i="6" s="1"/>
  <c r="B54" i="6"/>
  <c r="B79" i="6" s="1"/>
  <c r="B55" i="6"/>
  <c r="B80" i="6" s="1"/>
  <c r="B56" i="6"/>
  <c r="B81" i="6" s="1"/>
  <c r="B57" i="6"/>
  <c r="B82" i="6" s="1"/>
  <c r="B58" i="6"/>
  <c r="B59" i="6"/>
  <c r="B84" i="6" s="1"/>
  <c r="B60" i="6"/>
  <c r="B85" i="6" s="1"/>
  <c r="B61" i="6"/>
  <c r="B86" i="6" s="1"/>
  <c r="B62" i="6"/>
  <c r="B63" i="6"/>
  <c r="B88" i="6" s="1"/>
  <c r="B64" i="6"/>
  <c r="B89" i="6" s="1"/>
  <c r="B65" i="6"/>
  <c r="B90" i="6" s="1"/>
  <c r="B45" i="6"/>
  <c r="B70" i="6" s="1"/>
  <c r="N123" i="9" l="1"/>
  <c r="N122" i="9"/>
  <c r="Z101" i="9"/>
  <c r="N55" i="10" l="1"/>
  <c r="N56" i="10" s="1"/>
  <c r="N57" i="10" s="1"/>
  <c r="E38" i="10"/>
  <c r="B94" i="5"/>
  <c r="P403" i="37" l="1"/>
  <c r="B95" i="5" s="1"/>
  <c r="P382" i="37"/>
  <c r="P383" i="37"/>
  <c r="D335" i="37"/>
  <c r="P334" i="37"/>
  <c r="P335" i="37"/>
  <c r="P336" i="37"/>
  <c r="P337" i="37"/>
  <c r="P338" i="37"/>
  <c r="P339" i="37"/>
  <c r="P340" i="37"/>
  <c r="P341" i="37"/>
  <c r="P342" i="37"/>
  <c r="P343" i="37"/>
  <c r="P344" i="37"/>
  <c r="P333" i="37"/>
  <c r="O344" i="37"/>
  <c r="B89" i="5" s="1"/>
  <c r="E145" i="9" l="1"/>
  <c r="K142" i="1" l="1"/>
  <c r="H142" i="1"/>
  <c r="F142" i="1"/>
  <c r="E142" i="1"/>
  <c r="C145" i="1"/>
  <c r="E129" i="9" l="1"/>
  <c r="D26" i="14"/>
  <c r="E92" i="9"/>
  <c r="E97" i="9" s="1"/>
  <c r="E54" i="9"/>
  <c r="E72" i="9"/>
  <c r="E53" i="9"/>
  <c r="E51" i="9"/>
  <c r="E45" i="9"/>
  <c r="E37" i="9"/>
  <c r="E29" i="9"/>
  <c r="E28" i="9"/>
  <c r="E18" i="9"/>
  <c r="E81" i="9" s="1"/>
  <c r="E106" i="9"/>
  <c r="B108" i="5" l="1"/>
  <c r="B107" i="5"/>
  <c r="F9" i="5"/>
  <c r="S107" i="27"/>
  <c r="E146" i="9" l="1"/>
  <c r="G33" i="10"/>
  <c r="E54" i="10"/>
  <c r="E100" i="10" s="1"/>
  <c r="G7" i="10"/>
  <c r="E141" i="9"/>
  <c r="G136" i="9"/>
  <c r="G80" i="9"/>
  <c r="G78" i="9"/>
  <c r="G14" i="9"/>
  <c r="G8" i="10" l="1"/>
  <c r="E147" i="9"/>
  <c r="D25" i="5"/>
  <c r="C49" i="27"/>
  <c r="C129" i="27"/>
  <c r="C119" i="27"/>
  <c r="C118" i="27"/>
  <c r="D110" i="27"/>
  <c r="E110" i="27"/>
  <c r="F110" i="27"/>
  <c r="G110" i="27"/>
  <c r="H110" i="27"/>
  <c r="I110" i="27"/>
  <c r="J110" i="27"/>
  <c r="K110" i="27"/>
  <c r="L110" i="27"/>
  <c r="M110" i="27"/>
  <c r="N110" i="27"/>
  <c r="C110" i="27"/>
  <c r="E179" i="37"/>
  <c r="E111" i="27"/>
  <c r="F111" i="27"/>
  <c r="G111" i="27"/>
  <c r="H111" i="27"/>
  <c r="I111" i="27"/>
  <c r="J111" i="27"/>
  <c r="K111" i="27"/>
  <c r="L111" i="27"/>
  <c r="M111" i="27"/>
  <c r="N111" i="27"/>
  <c r="C111" i="27"/>
  <c r="O109" i="27"/>
  <c r="D109" i="27"/>
  <c r="E109" i="27"/>
  <c r="F109" i="27"/>
  <c r="G109" i="27"/>
  <c r="H109" i="27"/>
  <c r="I109" i="27"/>
  <c r="J109" i="27"/>
  <c r="K109" i="27"/>
  <c r="L109" i="27"/>
  <c r="M109" i="27"/>
  <c r="N109" i="27"/>
  <c r="C109" i="27"/>
  <c r="D108" i="27"/>
  <c r="E108" i="27"/>
  <c r="F108" i="27"/>
  <c r="G108" i="27"/>
  <c r="H108" i="27"/>
  <c r="I108" i="27"/>
  <c r="J108" i="27"/>
  <c r="K108" i="27"/>
  <c r="L108" i="27"/>
  <c r="M108" i="27"/>
  <c r="N108" i="27"/>
  <c r="C108" i="27"/>
  <c r="D107" i="27"/>
  <c r="E107" i="27"/>
  <c r="F107" i="27"/>
  <c r="G107" i="27"/>
  <c r="H107" i="27"/>
  <c r="I107" i="27"/>
  <c r="J107" i="27"/>
  <c r="K107" i="27"/>
  <c r="L107" i="27"/>
  <c r="M107" i="27"/>
  <c r="N107" i="27"/>
  <c r="C107" i="27"/>
  <c r="D58" i="27"/>
  <c r="E58" i="27"/>
  <c r="F58" i="27"/>
  <c r="G58" i="27"/>
  <c r="H58" i="27"/>
  <c r="I58" i="27"/>
  <c r="J58" i="27"/>
  <c r="K58" i="27"/>
  <c r="L58" i="27"/>
  <c r="M58" i="27"/>
  <c r="N58" i="27"/>
  <c r="C58" i="27"/>
  <c r="I57" i="27"/>
  <c r="D56" i="27"/>
  <c r="E56" i="27"/>
  <c r="F56" i="27"/>
  <c r="G56" i="27"/>
  <c r="O56" i="27" s="1"/>
  <c r="H56" i="27"/>
  <c r="I56" i="27"/>
  <c r="J56" i="27"/>
  <c r="K56" i="27"/>
  <c r="L56" i="27"/>
  <c r="M56" i="27"/>
  <c r="N56" i="27"/>
  <c r="C56" i="27"/>
  <c r="E338" i="37"/>
  <c r="D111" i="27" s="1"/>
  <c r="F338" i="37"/>
  <c r="G338" i="37"/>
  <c r="H338" i="37"/>
  <c r="I338" i="37"/>
  <c r="J338" i="37"/>
  <c r="K338" i="37"/>
  <c r="L338" i="37"/>
  <c r="M338" i="37"/>
  <c r="N338" i="37"/>
  <c r="O338" i="37"/>
  <c r="E337" i="37"/>
  <c r="F337" i="37"/>
  <c r="G337" i="37"/>
  <c r="H337" i="37"/>
  <c r="I337" i="37"/>
  <c r="J337" i="37"/>
  <c r="K337" i="37"/>
  <c r="L337" i="37"/>
  <c r="M337" i="37"/>
  <c r="N337" i="37"/>
  <c r="O337" i="37"/>
  <c r="D338" i="37"/>
  <c r="D337" i="37"/>
  <c r="D55" i="27"/>
  <c r="O55" i="27" s="1"/>
  <c r="E55" i="27"/>
  <c r="E57" i="27" s="1"/>
  <c r="F55" i="27"/>
  <c r="G55" i="27"/>
  <c r="H55" i="27"/>
  <c r="H57" i="27" s="1"/>
  <c r="I55" i="27"/>
  <c r="J55" i="27"/>
  <c r="J57" i="27" s="1"/>
  <c r="K55" i="27"/>
  <c r="L55" i="27"/>
  <c r="M55" i="27"/>
  <c r="N55" i="27"/>
  <c r="C55" i="27"/>
  <c r="D54" i="27"/>
  <c r="E54" i="27"/>
  <c r="F54" i="27"/>
  <c r="F57" i="27" s="1"/>
  <c r="G54" i="27"/>
  <c r="G57" i="27" s="1"/>
  <c r="H54" i="27"/>
  <c r="I54" i="27"/>
  <c r="J54" i="27"/>
  <c r="K54" i="27"/>
  <c r="K57" i="27" s="1"/>
  <c r="L54" i="27"/>
  <c r="L57" i="27" s="1"/>
  <c r="M54" i="27"/>
  <c r="M57" i="27" s="1"/>
  <c r="N54" i="27"/>
  <c r="N57" i="27" s="1"/>
  <c r="C54" i="27"/>
  <c r="C57" i="27" s="1"/>
  <c r="G28" i="27"/>
  <c r="D57" i="27" l="1"/>
  <c r="D70" i="6" l="1"/>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J70" i="6"/>
  <c r="K70" i="6"/>
  <c r="L70" i="6"/>
  <c r="M70" i="6"/>
  <c r="N70" i="6"/>
  <c r="O70" i="6"/>
  <c r="J71" i="6"/>
  <c r="K71" i="6"/>
  <c r="L71" i="6"/>
  <c r="M71" i="6"/>
  <c r="N71" i="6"/>
  <c r="O71" i="6"/>
  <c r="J72" i="6"/>
  <c r="K72" i="6"/>
  <c r="L72" i="6"/>
  <c r="M72" i="6"/>
  <c r="N72" i="6"/>
  <c r="O72" i="6"/>
  <c r="J73" i="6"/>
  <c r="K73" i="6"/>
  <c r="L73" i="6"/>
  <c r="M73" i="6"/>
  <c r="N73" i="6"/>
  <c r="O73" i="6"/>
  <c r="J74" i="6"/>
  <c r="K74" i="6"/>
  <c r="L74" i="6"/>
  <c r="M74" i="6"/>
  <c r="N74" i="6"/>
  <c r="O74" i="6"/>
  <c r="J75" i="6"/>
  <c r="K75" i="6"/>
  <c r="L75" i="6"/>
  <c r="M75" i="6"/>
  <c r="N75" i="6"/>
  <c r="O75" i="6"/>
  <c r="J76" i="6"/>
  <c r="K76" i="6"/>
  <c r="L76" i="6"/>
  <c r="M76" i="6"/>
  <c r="N76" i="6"/>
  <c r="O76" i="6"/>
  <c r="J77" i="6"/>
  <c r="K77" i="6"/>
  <c r="L77" i="6"/>
  <c r="M77" i="6"/>
  <c r="N77" i="6"/>
  <c r="O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J78" i="6"/>
  <c r="K78" i="6"/>
  <c r="L78" i="6"/>
  <c r="M78" i="6"/>
  <c r="N78" i="6"/>
  <c r="O78" i="6"/>
  <c r="J79" i="6"/>
  <c r="K79" i="6"/>
  <c r="L79" i="6"/>
  <c r="M79" i="6"/>
  <c r="N79" i="6"/>
  <c r="O79" i="6"/>
  <c r="J80" i="6"/>
  <c r="K80" i="6"/>
  <c r="L80" i="6"/>
  <c r="M80" i="6"/>
  <c r="N80" i="6"/>
  <c r="O80" i="6"/>
  <c r="J81" i="6"/>
  <c r="K81" i="6"/>
  <c r="L81" i="6"/>
  <c r="M81" i="6"/>
  <c r="N81" i="6"/>
  <c r="O81" i="6"/>
  <c r="J82" i="6"/>
  <c r="K82" i="6"/>
  <c r="L82" i="6"/>
  <c r="M82" i="6"/>
  <c r="N82" i="6"/>
  <c r="O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E3" i="6"/>
  <c r="F3" i="6" s="1"/>
  <c r="G3" i="6" s="1"/>
  <c r="H3" i="6" s="1"/>
  <c r="I3" i="6" s="1"/>
  <c r="J31" i="10" l="1"/>
  <c r="P443" i="37" l="1"/>
  <c r="P426" i="37"/>
  <c r="D399" i="37" l="1"/>
  <c r="E394" i="37"/>
  <c r="F394" i="37"/>
  <c r="G394" i="37"/>
  <c r="H394" i="37"/>
  <c r="I394" i="37"/>
  <c r="J394" i="37"/>
  <c r="K394" i="37"/>
  <c r="L394" i="37"/>
  <c r="M394" i="37"/>
  <c r="N394" i="37"/>
  <c r="O394" i="37"/>
  <c r="D394" i="37"/>
  <c r="P390" i="37"/>
  <c r="P393" i="37"/>
  <c r="P392" i="37"/>
  <c r="P391" i="37"/>
  <c r="P389" i="37"/>
  <c r="P388" i="37"/>
  <c r="P387" i="37"/>
  <c r="P386" i="37"/>
  <c r="P385" i="37"/>
  <c r="P384" i="37"/>
  <c r="P381" i="37"/>
  <c r="P380" i="37"/>
  <c r="P379" i="37"/>
  <c r="P378" i="37"/>
  <c r="P377" i="37"/>
  <c r="P376" i="37"/>
  <c r="P375" i="37"/>
  <c r="P374" i="37"/>
  <c r="P373" i="37"/>
  <c r="P372" i="37"/>
  <c r="P371" i="37"/>
  <c r="P370" i="37"/>
  <c r="P369" i="37"/>
  <c r="P368" i="37"/>
  <c r="P367" i="37"/>
  <c r="P366" i="37"/>
  <c r="P365" i="37"/>
  <c r="P364" i="37"/>
  <c r="P363" i="37"/>
  <c r="P362" i="37"/>
  <c r="P361" i="37"/>
  <c r="P360" i="37"/>
  <c r="P359" i="37"/>
  <c r="P358" i="37"/>
  <c r="P357" i="37"/>
  <c r="P356" i="37"/>
  <c r="P355" i="37"/>
  <c r="P168" i="37"/>
  <c r="P169" i="37"/>
  <c r="P170" i="37"/>
  <c r="P171" i="37"/>
  <c r="P123" i="37"/>
  <c r="D179" i="37"/>
  <c r="D89" i="37"/>
  <c r="M74" i="37"/>
  <c r="D74" i="37"/>
  <c r="D333" i="37" s="1"/>
  <c r="P394" i="37" l="1"/>
  <c r="C39" i="37" l="1"/>
  <c r="P28" i="37"/>
  <c r="P29" i="37"/>
  <c r="P30" i="37"/>
  <c r="P31" i="37"/>
  <c r="P32" i="37"/>
  <c r="P33" i="37"/>
  <c r="P34" i="37"/>
  <c r="K42" i="18" l="1"/>
  <c r="E24" i="14" l="1"/>
  <c r="G58" i="5"/>
  <c r="O128" i="6" l="1"/>
  <c r="N128" i="6"/>
  <c r="D125" i="6" l="1"/>
  <c r="E11" i="9" l="1"/>
  <c r="E143" i="9" s="1"/>
  <c r="G35" i="10"/>
  <c r="G26" i="10"/>
  <c r="E98" i="10"/>
  <c r="G64" i="9"/>
  <c r="G42" i="9"/>
  <c r="D31" i="6" l="1"/>
  <c r="O31" i="6"/>
  <c r="N31" i="6"/>
  <c r="M31" i="6"/>
  <c r="L31" i="6"/>
  <c r="K31" i="6"/>
  <c r="J31" i="6"/>
  <c r="I31" i="6"/>
  <c r="H31" i="6"/>
  <c r="G31" i="6"/>
  <c r="F31" i="6"/>
  <c r="E31" i="6"/>
  <c r="J3" i="6" l="1"/>
  <c r="K3" i="6" s="1"/>
  <c r="L3" i="6" s="1"/>
  <c r="M3" i="6" s="1"/>
  <c r="N3" i="6" s="1"/>
  <c r="O3" i="6" s="1"/>
  <c r="E397" i="37"/>
  <c r="F397" i="37"/>
  <c r="G397" i="37"/>
  <c r="H397" i="37"/>
  <c r="I397" i="37"/>
  <c r="J397" i="37"/>
  <c r="K397" i="37"/>
  <c r="L397" i="37"/>
  <c r="M397" i="37"/>
  <c r="N397" i="37"/>
  <c r="O397" i="37"/>
  <c r="G398" i="37"/>
  <c r="H398" i="37"/>
  <c r="I398" i="37"/>
  <c r="O398" i="37"/>
  <c r="E399" i="37"/>
  <c r="E398" i="37" s="1"/>
  <c r="F399" i="37"/>
  <c r="F398" i="37" s="1"/>
  <c r="G399" i="37"/>
  <c r="H399" i="37"/>
  <c r="I399" i="37"/>
  <c r="J399" i="37"/>
  <c r="J398" i="37" s="1"/>
  <c r="K399" i="37"/>
  <c r="K398" i="37" s="1"/>
  <c r="L399" i="37"/>
  <c r="L398" i="37" s="1"/>
  <c r="M399" i="37"/>
  <c r="M398" i="37" s="1"/>
  <c r="N399" i="37"/>
  <c r="N398" i="37" s="1"/>
  <c r="O399" i="37"/>
  <c r="I400" i="37"/>
  <c r="J400" i="37"/>
  <c r="K400" i="37"/>
  <c r="E401" i="37"/>
  <c r="E400" i="37" s="1"/>
  <c r="F401" i="37"/>
  <c r="F400" i="37" s="1"/>
  <c r="G401" i="37"/>
  <c r="G400" i="37" s="1"/>
  <c r="H401" i="37"/>
  <c r="H400" i="37" s="1"/>
  <c r="I401" i="37"/>
  <c r="J401" i="37"/>
  <c r="K401" i="37"/>
  <c r="L401" i="37"/>
  <c r="L400" i="37" s="1"/>
  <c r="M401" i="37"/>
  <c r="M400" i="37" s="1"/>
  <c r="N401" i="37"/>
  <c r="N400" i="37" s="1"/>
  <c r="O401" i="37"/>
  <c r="O400" i="37" s="1"/>
  <c r="E402" i="37"/>
  <c r="F402" i="37"/>
  <c r="G402" i="37"/>
  <c r="H402" i="37"/>
  <c r="I402" i="37"/>
  <c r="J402" i="37"/>
  <c r="K402" i="37"/>
  <c r="L402" i="37"/>
  <c r="M402" i="37"/>
  <c r="N402" i="37"/>
  <c r="O402" i="37"/>
  <c r="E403" i="37"/>
  <c r="F403" i="37"/>
  <c r="G403" i="37"/>
  <c r="H403" i="37"/>
  <c r="I403" i="37"/>
  <c r="J403" i="37"/>
  <c r="K403" i="37"/>
  <c r="L403" i="37"/>
  <c r="M403" i="37"/>
  <c r="N403" i="37"/>
  <c r="O403" i="37"/>
  <c r="E404" i="37"/>
  <c r="F404" i="37"/>
  <c r="G404" i="37"/>
  <c r="H404" i="37"/>
  <c r="I404" i="37"/>
  <c r="J404" i="37"/>
  <c r="K404" i="37"/>
  <c r="L404" i="37"/>
  <c r="M404" i="37"/>
  <c r="N404" i="37"/>
  <c r="O404" i="37"/>
  <c r="D404" i="37"/>
  <c r="D402" i="37"/>
  <c r="D401" i="37"/>
  <c r="D400" i="37" s="1"/>
  <c r="D398" i="37"/>
  <c r="D405" i="37" l="1"/>
  <c r="D406" i="37" s="1"/>
  <c r="P397" i="37"/>
  <c r="E405" i="37"/>
  <c r="E406" i="37" s="1"/>
  <c r="BE1" i="9" l="1"/>
  <c r="BE154" i="9" l="1"/>
  <c r="BE89" i="9"/>
  <c r="BE60" i="9"/>
  <c r="BE61" i="9"/>
  <c r="BE34" i="9"/>
  <c r="BE33" i="9"/>
  <c r="BE56" i="9"/>
  <c r="BE79" i="9"/>
  <c r="T126" i="6" l="1"/>
  <c r="T125" i="6"/>
  <c r="T124" i="6"/>
  <c r="T121" i="6"/>
  <c r="L125" i="6"/>
  <c r="C111" i="6"/>
  <c r="E125" i="6"/>
  <c r="F125" i="6"/>
  <c r="G125" i="6"/>
  <c r="H125" i="6"/>
  <c r="I125" i="6"/>
  <c r="J125" i="6"/>
  <c r="K125" i="6"/>
  <c r="M125" i="6"/>
  <c r="N125" i="6"/>
  <c r="O125" i="6"/>
  <c r="E95" i="6"/>
  <c r="F95" i="6"/>
  <c r="G95" i="6"/>
  <c r="H95" i="6"/>
  <c r="I95" i="6"/>
  <c r="J95" i="6"/>
  <c r="K95" i="6"/>
  <c r="L95" i="6"/>
  <c r="M95" i="6"/>
  <c r="N95" i="6"/>
  <c r="O95" i="6"/>
  <c r="O127" i="6" s="1"/>
  <c r="O129" i="6" s="1"/>
  <c r="D95" i="6"/>
  <c r="T123" i="6" l="1"/>
  <c r="L161" i="1" l="1"/>
  <c r="K161" i="1"/>
  <c r="J161" i="1"/>
  <c r="I161" i="1"/>
  <c r="H161" i="1"/>
  <c r="G161" i="1"/>
  <c r="F161" i="1"/>
  <c r="E161" i="1"/>
  <c r="D161" i="1"/>
  <c r="L160" i="1"/>
  <c r="K160" i="1"/>
  <c r="J160" i="1"/>
  <c r="I160" i="1"/>
  <c r="H160" i="1"/>
  <c r="G160" i="1"/>
  <c r="F160" i="1"/>
  <c r="E160" i="1"/>
  <c r="D160" i="1"/>
  <c r="L57" i="1"/>
  <c r="K57" i="1"/>
  <c r="J57" i="1"/>
  <c r="I57" i="1"/>
  <c r="H57" i="1"/>
  <c r="G57" i="1"/>
  <c r="F57" i="1"/>
  <c r="E57" i="1"/>
  <c r="D57" i="1"/>
  <c r="L56" i="1"/>
  <c r="K56" i="1"/>
  <c r="J56" i="1"/>
  <c r="I56" i="1"/>
  <c r="H56" i="1"/>
  <c r="G56" i="1"/>
  <c r="F56" i="1"/>
  <c r="E56" i="1"/>
  <c r="D56" i="1"/>
  <c r="L108" i="1"/>
  <c r="L107" i="1"/>
  <c r="K108" i="1"/>
  <c r="K107" i="1"/>
  <c r="J108" i="1"/>
  <c r="J107" i="1"/>
  <c r="I108" i="1"/>
  <c r="I107" i="1"/>
  <c r="H108" i="1"/>
  <c r="H107" i="1"/>
  <c r="G108" i="1"/>
  <c r="G107" i="1"/>
  <c r="F108" i="1"/>
  <c r="F107" i="1"/>
  <c r="E108" i="1"/>
  <c r="E107" i="1"/>
  <c r="D108" i="1"/>
  <c r="D107" i="1"/>
  <c r="D101" i="20" l="1"/>
  <c r="D100" i="20"/>
  <c r="D98" i="20"/>
  <c r="D13" i="45" s="1"/>
  <c r="F13" i="45" s="1"/>
  <c r="D97" i="20"/>
  <c r="D12" i="45" s="1"/>
  <c r="F12" i="45" s="1"/>
  <c r="D96" i="20"/>
  <c r="D11" i="45" s="1"/>
  <c r="F11" i="45" s="1"/>
  <c r="Q105" i="20"/>
  <c r="J105" i="20"/>
  <c r="S105" i="20" s="1"/>
  <c r="E105" i="20"/>
  <c r="Q104" i="20"/>
  <c r="J104" i="20"/>
  <c r="S104" i="20" s="1"/>
  <c r="E104" i="20"/>
  <c r="Q103" i="20"/>
  <c r="J103" i="20"/>
  <c r="R103" i="20" s="1"/>
  <c r="E103" i="20"/>
  <c r="Q101" i="20"/>
  <c r="A101" i="20"/>
  <c r="Q100" i="20"/>
  <c r="A100" i="20"/>
  <c r="P96" i="20"/>
  <c r="P97" i="20" s="1"/>
  <c r="O96" i="20"/>
  <c r="O98" i="20" s="1"/>
  <c r="A96" i="20"/>
  <c r="D77" i="20"/>
  <c r="D76" i="20"/>
  <c r="J78" i="20"/>
  <c r="R78" i="20" s="1"/>
  <c r="E78" i="20"/>
  <c r="K77" i="20"/>
  <c r="P76" i="20"/>
  <c r="P77" i="20" s="1"/>
  <c r="O76" i="20"/>
  <c r="O77" i="20" s="1"/>
  <c r="D47" i="20"/>
  <c r="D46" i="20"/>
  <c r="K47" i="20"/>
  <c r="D35" i="20"/>
  <c r="D33" i="20"/>
  <c r="D44" i="20"/>
  <c r="P46" i="20"/>
  <c r="P47" i="20" s="1"/>
  <c r="O46" i="20"/>
  <c r="O47" i="20" s="1"/>
  <c r="H199" i="1"/>
  <c r="H192" i="1"/>
  <c r="H146" i="1"/>
  <c r="H139" i="1"/>
  <c r="F139" i="1"/>
  <c r="J25" i="1"/>
  <c r="P94" i="6"/>
  <c r="D58" i="20" l="1"/>
  <c r="D52" i="20"/>
  <c r="R105" i="20"/>
  <c r="S103" i="20"/>
  <c r="F24" i="45"/>
  <c r="S78" i="20"/>
  <c r="R104" i="20"/>
  <c r="O97" i="20"/>
  <c r="P98" i="20"/>
  <c r="E74" i="20"/>
  <c r="P95" i="6"/>
  <c r="F62" i="5" s="1"/>
  <c r="Q39" i="6"/>
  <c r="R39" i="6" s="1"/>
  <c r="Q38" i="6"/>
  <c r="R38" i="6" s="1"/>
  <c r="P39" i="6"/>
  <c r="P38" i="6"/>
  <c r="R40" i="6" l="1"/>
  <c r="C62" i="5" s="1"/>
  <c r="J32" i="1" s="1"/>
  <c r="P40" i="6"/>
  <c r="J27" i="1"/>
  <c r="J50" i="1" s="1"/>
  <c r="Q40" i="6"/>
  <c r="B62" i="5" s="1"/>
  <c r="S39" i="6"/>
  <c r="S38" i="6"/>
  <c r="J8" i="1" l="1"/>
  <c r="J9" i="1"/>
  <c r="S40" i="6"/>
  <c r="D62" i="5" s="1"/>
  <c r="O71" i="27"/>
  <c r="C72" i="27"/>
  <c r="C76" i="27"/>
  <c r="J31" i="1" l="1"/>
  <c r="J10" i="1"/>
  <c r="J33" i="1"/>
  <c r="D50" i="5"/>
  <c r="C125" i="27" l="1"/>
  <c r="C126" i="27" s="1"/>
  <c r="C78" i="27"/>
  <c r="E478" i="37"/>
  <c r="F478" i="37" s="1"/>
  <c r="G478" i="37" s="1"/>
  <c r="H478" i="37" s="1"/>
  <c r="I478" i="37" s="1"/>
  <c r="J478" i="37" s="1"/>
  <c r="K478" i="37" s="1"/>
  <c r="L478" i="37" s="1"/>
  <c r="M478" i="37" s="1"/>
  <c r="N478" i="37" s="1"/>
  <c r="O478" i="37" s="1"/>
  <c r="E477" i="37"/>
  <c r="F477" i="37" s="1"/>
  <c r="G477" i="37" s="1"/>
  <c r="H477" i="37" s="1"/>
  <c r="I477" i="37" s="1"/>
  <c r="J477" i="37" s="1"/>
  <c r="K477" i="37" s="1"/>
  <c r="L477" i="37" s="1"/>
  <c r="M477" i="37" s="1"/>
  <c r="N477" i="37" s="1"/>
  <c r="O477" i="37" s="1"/>
  <c r="E476" i="37"/>
  <c r="F476" i="37" s="1"/>
  <c r="G476" i="37" s="1"/>
  <c r="H476" i="37" s="1"/>
  <c r="I476" i="37" s="1"/>
  <c r="J476" i="37" s="1"/>
  <c r="K476" i="37" s="1"/>
  <c r="L476" i="37" s="1"/>
  <c r="M476" i="37" s="1"/>
  <c r="N476" i="37" s="1"/>
  <c r="O476" i="37" s="1"/>
  <c r="E475" i="37"/>
  <c r="F475" i="37" s="1"/>
  <c r="G475" i="37" s="1"/>
  <c r="H475" i="37" s="1"/>
  <c r="I475" i="37" s="1"/>
  <c r="J475" i="37" s="1"/>
  <c r="K475" i="37" s="1"/>
  <c r="L475" i="37" s="1"/>
  <c r="M475" i="37" s="1"/>
  <c r="N475" i="37" s="1"/>
  <c r="O475" i="37" s="1"/>
  <c r="P474" i="37"/>
  <c r="P473" i="37"/>
  <c r="P472" i="37"/>
  <c r="P471" i="37"/>
  <c r="E460" i="37"/>
  <c r="F460" i="37" s="1"/>
  <c r="G460" i="37" s="1"/>
  <c r="H460" i="37" s="1"/>
  <c r="I460" i="37" s="1"/>
  <c r="J460" i="37" s="1"/>
  <c r="K460" i="37" s="1"/>
  <c r="L460" i="37" s="1"/>
  <c r="M460" i="37" s="1"/>
  <c r="N460" i="37" s="1"/>
  <c r="O460" i="37" s="1"/>
  <c r="E459" i="37"/>
  <c r="F459" i="37" s="1"/>
  <c r="G459" i="37" s="1"/>
  <c r="H459" i="37" s="1"/>
  <c r="I459" i="37" s="1"/>
  <c r="J459" i="37" s="1"/>
  <c r="K459" i="37" s="1"/>
  <c r="L459" i="37" s="1"/>
  <c r="M459" i="37" s="1"/>
  <c r="N459" i="37" s="1"/>
  <c r="O459" i="37" s="1"/>
  <c r="N129" i="27" s="1"/>
  <c r="N131" i="27" s="1"/>
  <c r="E458" i="37"/>
  <c r="F458" i="37" s="1"/>
  <c r="G458" i="37" s="1"/>
  <c r="H458" i="37" s="1"/>
  <c r="I458" i="37" s="1"/>
  <c r="J458" i="37" s="1"/>
  <c r="K458" i="37" s="1"/>
  <c r="L458" i="37" s="1"/>
  <c r="M458" i="37" s="1"/>
  <c r="N458" i="37" s="1"/>
  <c r="O458" i="37" s="1"/>
  <c r="N125" i="27" s="1"/>
  <c r="N126" i="27" s="1"/>
  <c r="P457" i="37"/>
  <c r="H120" i="1" s="1"/>
  <c r="P456" i="37"/>
  <c r="P455" i="37"/>
  <c r="E439" i="37"/>
  <c r="F439" i="37" s="1"/>
  <c r="G439" i="37" s="1"/>
  <c r="H439" i="37" s="1"/>
  <c r="I439" i="37" s="1"/>
  <c r="J439" i="37" s="1"/>
  <c r="K439" i="37" s="1"/>
  <c r="L439" i="37" s="1"/>
  <c r="M439" i="37" s="1"/>
  <c r="N439" i="37" s="1"/>
  <c r="O439" i="37" s="1"/>
  <c r="N76" i="27" s="1"/>
  <c r="N78" i="27" s="1"/>
  <c r="E438" i="37"/>
  <c r="P437" i="37"/>
  <c r="P436" i="37"/>
  <c r="C131" i="27"/>
  <c r="R126" i="27"/>
  <c r="O124" i="27"/>
  <c r="R110" i="27"/>
  <c r="P401" i="37"/>
  <c r="H134" i="1" s="1"/>
  <c r="H21" i="1" s="1"/>
  <c r="H44" i="1" s="1"/>
  <c r="H54" i="14" s="1"/>
  <c r="D45" i="37"/>
  <c r="E45" i="37"/>
  <c r="F45" i="37"/>
  <c r="G45" i="37"/>
  <c r="H45" i="37"/>
  <c r="I45" i="37"/>
  <c r="J45" i="37"/>
  <c r="K45" i="37"/>
  <c r="L45" i="37"/>
  <c r="M45" i="37"/>
  <c r="N45" i="37"/>
  <c r="D43" i="37"/>
  <c r="E43" i="37"/>
  <c r="F43" i="37"/>
  <c r="G43" i="37"/>
  <c r="H43" i="37"/>
  <c r="I43" i="37"/>
  <c r="J43" i="37"/>
  <c r="K43" i="37"/>
  <c r="L43" i="37"/>
  <c r="M43" i="37"/>
  <c r="N43" i="37"/>
  <c r="D41" i="37"/>
  <c r="E41" i="37"/>
  <c r="F41" i="37"/>
  <c r="G41" i="37"/>
  <c r="H41" i="37"/>
  <c r="I41" i="37"/>
  <c r="J41" i="37"/>
  <c r="K41" i="37"/>
  <c r="L41" i="37"/>
  <c r="M41" i="37"/>
  <c r="N41" i="37"/>
  <c r="C41" i="37"/>
  <c r="C43" i="37"/>
  <c r="C45" i="37"/>
  <c r="C44" i="37"/>
  <c r="P19" i="37"/>
  <c r="O19" i="37"/>
  <c r="P17" i="37"/>
  <c r="O17" i="37"/>
  <c r="O14" i="37"/>
  <c r="P14" i="37"/>
  <c r="O209" i="37"/>
  <c r="O341" i="37" s="1"/>
  <c r="N209" i="37"/>
  <c r="N341" i="37" s="1"/>
  <c r="M209" i="37"/>
  <c r="M341" i="37" s="1"/>
  <c r="L209" i="37"/>
  <c r="L341" i="37" s="1"/>
  <c r="K209" i="37"/>
  <c r="K341" i="37" s="1"/>
  <c r="J209" i="37"/>
  <c r="J341" i="37" s="1"/>
  <c r="I209" i="37"/>
  <c r="I341" i="37" s="1"/>
  <c r="H209" i="37"/>
  <c r="H341" i="37" s="1"/>
  <c r="G209" i="37"/>
  <c r="G341" i="37" s="1"/>
  <c r="F209" i="37"/>
  <c r="F341" i="37" s="1"/>
  <c r="E209" i="37"/>
  <c r="E341" i="37" s="1"/>
  <c r="D209" i="37"/>
  <c r="D341" i="37" s="1"/>
  <c r="P208" i="37"/>
  <c r="P207" i="37"/>
  <c r="P206" i="37"/>
  <c r="P205" i="37"/>
  <c r="P204" i="37"/>
  <c r="P203" i="37"/>
  <c r="P202" i="37"/>
  <c r="P201" i="37"/>
  <c r="P200" i="37"/>
  <c r="P199" i="37"/>
  <c r="P198" i="37"/>
  <c r="P197" i="37"/>
  <c r="P196" i="37"/>
  <c r="P195" i="37"/>
  <c r="O179" i="37"/>
  <c r="N179" i="37"/>
  <c r="M179" i="37"/>
  <c r="L179" i="37"/>
  <c r="K179" i="37"/>
  <c r="J179" i="37"/>
  <c r="I179" i="37"/>
  <c r="H179" i="37"/>
  <c r="G179" i="37"/>
  <c r="F179" i="37"/>
  <c r="P167" i="37"/>
  <c r="P179" i="37" s="1"/>
  <c r="O134" i="37"/>
  <c r="N134" i="37"/>
  <c r="M134" i="37"/>
  <c r="L134" i="37"/>
  <c r="K134" i="37"/>
  <c r="J134" i="37"/>
  <c r="I134" i="37"/>
  <c r="H134" i="37"/>
  <c r="G134" i="37"/>
  <c r="F134" i="37"/>
  <c r="E134" i="37"/>
  <c r="D134" i="37"/>
  <c r="P133" i="37"/>
  <c r="P132" i="37"/>
  <c r="P131" i="37"/>
  <c r="P130" i="37"/>
  <c r="P129" i="37"/>
  <c r="P128" i="37"/>
  <c r="P127" i="37"/>
  <c r="P126" i="37"/>
  <c r="P125" i="37"/>
  <c r="P124" i="37"/>
  <c r="P122" i="37"/>
  <c r="P121" i="37"/>
  <c r="P120" i="37"/>
  <c r="R73" i="27"/>
  <c r="C73" i="27"/>
  <c r="R57" i="27"/>
  <c r="E62" i="5"/>
  <c r="D26" i="5"/>
  <c r="D29" i="5" s="1"/>
  <c r="J128" i="1"/>
  <c r="H198" i="1"/>
  <c r="H191" i="1"/>
  <c r="H193" i="1" s="1"/>
  <c r="H147" i="1"/>
  <c r="H140" i="1"/>
  <c r="H173" i="1"/>
  <c r="F199" i="1"/>
  <c r="F198" i="1"/>
  <c r="F192" i="1"/>
  <c r="F193" i="1" s="1"/>
  <c r="F191" i="1"/>
  <c r="F146" i="1"/>
  <c r="F147" i="1" s="1"/>
  <c r="F140" i="1"/>
  <c r="J41" i="1"/>
  <c r="J181" i="1" s="1"/>
  <c r="J38" i="1"/>
  <c r="J35" i="1"/>
  <c r="J34" i="1"/>
  <c r="J21" i="1"/>
  <c r="J44" i="1" s="1"/>
  <c r="J54" i="14" s="1"/>
  <c r="H38" i="1"/>
  <c r="H35" i="1"/>
  <c r="H34" i="1"/>
  <c r="H33" i="1"/>
  <c r="H52" i="14" s="1"/>
  <c r="F38" i="1"/>
  <c r="F35" i="1"/>
  <c r="F34" i="1"/>
  <c r="F33" i="1"/>
  <c r="F52" i="14" s="1"/>
  <c r="P54" i="18"/>
  <c r="K54" i="18"/>
  <c r="P50" i="18"/>
  <c r="K50" i="18"/>
  <c r="P46" i="18"/>
  <c r="K46" i="18"/>
  <c r="F32" i="14"/>
  <c r="F42" i="14" s="1"/>
  <c r="W42" i="14"/>
  <c r="W39" i="14"/>
  <c r="W38" i="14"/>
  <c r="W37" i="14"/>
  <c r="W20" i="14"/>
  <c r="W17" i="14"/>
  <c r="W16" i="14"/>
  <c r="W15" i="14"/>
  <c r="U42" i="14"/>
  <c r="U39" i="14"/>
  <c r="U38" i="14"/>
  <c r="U37" i="14"/>
  <c r="U20" i="14"/>
  <c r="U17" i="14"/>
  <c r="U16" i="14"/>
  <c r="U15" i="14"/>
  <c r="S42" i="14"/>
  <c r="S39" i="14"/>
  <c r="S38" i="14"/>
  <c r="S37" i="14"/>
  <c r="S20" i="14"/>
  <c r="S17" i="14"/>
  <c r="S16" i="14"/>
  <c r="S15" i="14"/>
  <c r="J103" i="14"/>
  <c r="J100" i="14"/>
  <c r="J90" i="14"/>
  <c r="J76" i="14"/>
  <c r="J84" i="14" s="1"/>
  <c r="J87" i="14" s="1"/>
  <c r="J29" i="14" s="1"/>
  <c r="J39" i="14" s="1"/>
  <c r="J75" i="14"/>
  <c r="J83" i="14" s="1"/>
  <c r="J86" i="14" s="1"/>
  <c r="J28" i="14" s="1"/>
  <c r="J38" i="14" s="1"/>
  <c r="J74" i="14"/>
  <c r="J82" i="14" s="1"/>
  <c r="J85" i="14" s="1"/>
  <c r="J70" i="14"/>
  <c r="J65" i="14"/>
  <c r="J67" i="14" s="1"/>
  <c r="J61" i="14"/>
  <c r="J63" i="14" s="1"/>
  <c r="H76" i="14"/>
  <c r="H84" i="14" s="1"/>
  <c r="H87" i="14" s="1"/>
  <c r="H29" i="14" s="1"/>
  <c r="H75" i="14"/>
  <c r="H83" i="14" s="1"/>
  <c r="H86" i="14" s="1"/>
  <c r="H28" i="14" s="1"/>
  <c r="H38" i="14" s="1"/>
  <c r="H74" i="14"/>
  <c r="H82" i="14" s="1"/>
  <c r="H85" i="14" s="1"/>
  <c r="H27" i="14" s="1"/>
  <c r="H37" i="14" s="1"/>
  <c r="H70" i="14"/>
  <c r="H67" i="14"/>
  <c r="H61" i="14"/>
  <c r="H63" i="14" s="1"/>
  <c r="F76" i="14"/>
  <c r="F84" i="14" s="1"/>
  <c r="F87" i="14" s="1"/>
  <c r="F29" i="14" s="1"/>
  <c r="F75" i="14"/>
  <c r="F83" i="14" s="1"/>
  <c r="F86" i="14" s="1"/>
  <c r="F28" i="14" s="1"/>
  <c r="F38" i="14" s="1"/>
  <c r="F74" i="14"/>
  <c r="F82" i="14" s="1"/>
  <c r="F85" i="14" s="1"/>
  <c r="F27" i="14" s="1"/>
  <c r="F37" i="14" s="1"/>
  <c r="F70" i="14"/>
  <c r="F65" i="14"/>
  <c r="F67" i="14" s="1"/>
  <c r="F61" i="14"/>
  <c r="F63" i="14" s="1"/>
  <c r="F12" i="14"/>
  <c r="F46" i="20"/>
  <c r="J34" i="14"/>
  <c r="J32" i="14"/>
  <c r="N101" i="20" s="1"/>
  <c r="J31" i="14"/>
  <c r="J26" i="14"/>
  <c r="J36" i="14" s="1"/>
  <c r="J24" i="14"/>
  <c r="F101" i="20"/>
  <c r="E101" i="20" s="1"/>
  <c r="F100" i="20"/>
  <c r="E100" i="20" s="1"/>
  <c r="F98" i="20"/>
  <c r="F97" i="20"/>
  <c r="F96" i="20"/>
  <c r="J12" i="14"/>
  <c r="H34" i="14"/>
  <c r="H32" i="14"/>
  <c r="H42" i="14" s="1"/>
  <c r="H31" i="14"/>
  <c r="N74" i="20" s="1"/>
  <c r="H24" i="14"/>
  <c r="F77" i="20"/>
  <c r="F76" i="20"/>
  <c r="H12" i="14"/>
  <c r="F34" i="14"/>
  <c r="F31" i="14"/>
  <c r="F26" i="14"/>
  <c r="F24" i="14"/>
  <c r="F47" i="20"/>
  <c r="F44" i="20"/>
  <c r="E44" i="20" s="1"/>
  <c r="M335" i="37" l="1"/>
  <c r="N335" i="37"/>
  <c r="O335" i="37"/>
  <c r="E335" i="37"/>
  <c r="F335" i="37"/>
  <c r="O58" i="27"/>
  <c r="D28" i="5" s="1"/>
  <c r="D30" i="5" s="1"/>
  <c r="G335" i="37"/>
  <c r="H335" i="37"/>
  <c r="I335" i="37"/>
  <c r="J335" i="37"/>
  <c r="K335" i="37"/>
  <c r="L335" i="37"/>
  <c r="P134" i="37"/>
  <c r="K76" i="27"/>
  <c r="K78" i="27" s="1"/>
  <c r="P209" i="37"/>
  <c r="I76" i="27"/>
  <c r="I78" i="27" s="1"/>
  <c r="K129" i="27"/>
  <c r="K131" i="27" s="1"/>
  <c r="I129" i="27"/>
  <c r="I131" i="27" s="1"/>
  <c r="P399" i="37"/>
  <c r="F134" i="1" s="1"/>
  <c r="F187" i="1" s="1"/>
  <c r="F195" i="1" s="1"/>
  <c r="G125" i="27"/>
  <c r="G126" i="27" s="1"/>
  <c r="J76" i="27"/>
  <c r="J78" i="27" s="1"/>
  <c r="F125" i="27"/>
  <c r="F126" i="27" s="1"/>
  <c r="J129" i="27"/>
  <c r="J131" i="27" s="1"/>
  <c r="M125" i="27"/>
  <c r="M126" i="27" s="1"/>
  <c r="E125" i="27"/>
  <c r="E126" i="27" s="1"/>
  <c r="F438" i="37"/>
  <c r="D72" i="27"/>
  <c r="H76" i="27"/>
  <c r="H78" i="27" s="1"/>
  <c r="L125" i="27"/>
  <c r="L126" i="27" s="1"/>
  <c r="D125" i="27"/>
  <c r="D126" i="27" s="1"/>
  <c r="H129" i="27"/>
  <c r="H131" i="27" s="1"/>
  <c r="P45" i="37"/>
  <c r="G76" i="27"/>
  <c r="G78" i="27" s="1"/>
  <c r="K125" i="27"/>
  <c r="K126" i="27" s="1"/>
  <c r="G129" i="27"/>
  <c r="G131" i="27" s="1"/>
  <c r="F76" i="27"/>
  <c r="F78" i="27" s="1"/>
  <c r="J125" i="27"/>
  <c r="J126" i="27" s="1"/>
  <c r="F129" i="27"/>
  <c r="F131" i="27" s="1"/>
  <c r="M76" i="27"/>
  <c r="M78" i="27" s="1"/>
  <c r="E76" i="27"/>
  <c r="E78" i="27" s="1"/>
  <c r="I125" i="27"/>
  <c r="I126" i="27" s="1"/>
  <c r="M129" i="27"/>
  <c r="M131" i="27" s="1"/>
  <c r="E129" i="27"/>
  <c r="E131" i="27" s="1"/>
  <c r="J53" i="14"/>
  <c r="L76" i="27"/>
  <c r="L78" i="27" s="1"/>
  <c r="D76" i="27"/>
  <c r="D78" i="27" s="1"/>
  <c r="H125" i="27"/>
  <c r="H126" i="27" s="1"/>
  <c r="L129" i="27"/>
  <c r="L131" i="27" s="1"/>
  <c r="D129" i="27"/>
  <c r="D131" i="27" s="1"/>
  <c r="J42" i="14"/>
  <c r="M101" i="20" s="1"/>
  <c r="J101" i="20" s="1"/>
  <c r="N98" i="20"/>
  <c r="H76" i="20"/>
  <c r="E76" i="20"/>
  <c r="U76" i="20" s="1"/>
  <c r="H47" i="20"/>
  <c r="E47" i="20"/>
  <c r="U47" i="20" s="1"/>
  <c r="H77" i="20"/>
  <c r="E77" i="20"/>
  <c r="U77" i="20" s="1"/>
  <c r="J41" i="14"/>
  <c r="M100" i="20" s="1"/>
  <c r="N100" i="20"/>
  <c r="N97" i="20"/>
  <c r="H96" i="20"/>
  <c r="E96" i="20"/>
  <c r="U96" i="20" s="1"/>
  <c r="N76" i="20"/>
  <c r="J76" i="20" s="1"/>
  <c r="F36" i="14"/>
  <c r="M44" i="20" s="1"/>
  <c r="N44" i="20"/>
  <c r="Q44" i="20" s="1"/>
  <c r="H36" i="14"/>
  <c r="Q74" i="20"/>
  <c r="N46" i="20"/>
  <c r="J46" i="20" s="1"/>
  <c r="H97" i="20"/>
  <c r="E97" i="20"/>
  <c r="U97" i="20" s="1"/>
  <c r="N77" i="20"/>
  <c r="J77" i="20" s="1"/>
  <c r="H98" i="20"/>
  <c r="E98" i="20"/>
  <c r="U98" i="20" s="1"/>
  <c r="N47" i="20"/>
  <c r="J47" i="20" s="1"/>
  <c r="H46" i="20"/>
  <c r="E46" i="20"/>
  <c r="U46" i="20" s="1"/>
  <c r="H41" i="14"/>
  <c r="M74" i="20" s="1"/>
  <c r="J74" i="20" s="1"/>
  <c r="F200" i="1"/>
  <c r="G112" i="27"/>
  <c r="I112" i="27"/>
  <c r="O111" i="27"/>
  <c r="O107" i="27"/>
  <c r="O108" i="27"/>
  <c r="P43" i="37"/>
  <c r="F49" i="5" s="1"/>
  <c r="H25" i="1" s="1"/>
  <c r="O41" i="37"/>
  <c r="P41" i="37"/>
  <c r="F27" i="5" s="1"/>
  <c r="F25" i="1" s="1"/>
  <c r="O43" i="37"/>
  <c r="P41" i="6"/>
  <c r="O45" i="37"/>
  <c r="O54" i="27"/>
  <c r="J102" i="14"/>
  <c r="H200" i="1"/>
  <c r="H187" i="1"/>
  <c r="J27" i="14"/>
  <c r="J37" i="14" s="1"/>
  <c r="J48" i="1"/>
  <c r="J56" i="14" s="1"/>
  <c r="J64" i="14" s="1"/>
  <c r="J97" i="20" l="1"/>
  <c r="R97" i="20" s="1"/>
  <c r="H12" i="45"/>
  <c r="J12" i="45" s="1"/>
  <c r="J98" i="20"/>
  <c r="S98" i="20" s="1"/>
  <c r="H13" i="45"/>
  <c r="J13" i="45" s="1"/>
  <c r="F21" i="1"/>
  <c r="F44" i="1" s="1"/>
  <c r="F54" i="14" s="1"/>
  <c r="O125" i="27"/>
  <c r="O129" i="27"/>
  <c r="G59" i="27"/>
  <c r="G61" i="27"/>
  <c r="G62" i="27"/>
  <c r="M59" i="27"/>
  <c r="M61" i="27" s="1"/>
  <c r="H59" i="27"/>
  <c r="H61" i="27" s="1"/>
  <c r="M112" i="27"/>
  <c r="M114" i="27"/>
  <c r="M115" i="27"/>
  <c r="H112" i="27"/>
  <c r="H114" i="27"/>
  <c r="H115" i="27"/>
  <c r="L59" i="27"/>
  <c r="L62" i="27" s="1"/>
  <c r="N59" i="27"/>
  <c r="N62" i="27" s="1"/>
  <c r="L112" i="27"/>
  <c r="L115" i="27"/>
  <c r="L114" i="27"/>
  <c r="P125" i="27"/>
  <c r="J59" i="27"/>
  <c r="J62" i="27" s="1"/>
  <c r="D59" i="27"/>
  <c r="D61" i="27"/>
  <c r="D62" i="27"/>
  <c r="D112" i="27"/>
  <c r="D114" i="27"/>
  <c r="D115" i="27"/>
  <c r="E59" i="27"/>
  <c r="E61" i="27" s="1"/>
  <c r="K59" i="27"/>
  <c r="K61" i="27" s="1"/>
  <c r="N112" i="27"/>
  <c r="N115" i="27"/>
  <c r="N114" i="27"/>
  <c r="K112" i="27"/>
  <c r="K115" i="27"/>
  <c r="K114" i="27"/>
  <c r="I114" i="27"/>
  <c r="I115" i="27"/>
  <c r="I59" i="27"/>
  <c r="I62" i="27" s="1"/>
  <c r="O131" i="27"/>
  <c r="P131" i="27" s="1"/>
  <c r="G47" i="5"/>
  <c r="O76" i="27"/>
  <c r="O78" i="27" s="1"/>
  <c r="P78" i="27" s="1"/>
  <c r="F59" i="27"/>
  <c r="F61" i="27" s="1"/>
  <c r="C59" i="27"/>
  <c r="F112" i="27"/>
  <c r="F114" i="27"/>
  <c r="F115" i="27"/>
  <c r="C112" i="27"/>
  <c r="C115" i="27"/>
  <c r="C114" i="27"/>
  <c r="G438" i="37"/>
  <c r="E72" i="27"/>
  <c r="J112" i="27"/>
  <c r="J115" i="27"/>
  <c r="J114" i="27"/>
  <c r="E112" i="27"/>
  <c r="E114" i="27"/>
  <c r="E115" i="27"/>
  <c r="G114" i="27"/>
  <c r="G115" i="27"/>
  <c r="J44" i="20"/>
  <c r="R44" i="20" s="1"/>
  <c r="J100" i="20"/>
  <c r="S100" i="20" s="1"/>
  <c r="R46" i="20"/>
  <c r="V46" i="20"/>
  <c r="M46" i="20"/>
  <c r="S101" i="20"/>
  <c r="R101" i="20"/>
  <c r="N96" i="20"/>
  <c r="S74" i="20"/>
  <c r="V77" i="20"/>
  <c r="R77" i="20"/>
  <c r="S77" i="20"/>
  <c r="R47" i="20"/>
  <c r="V47" i="20"/>
  <c r="S47" i="20"/>
  <c r="M76" i="20"/>
  <c r="X76" i="20" s="1"/>
  <c r="V76" i="20"/>
  <c r="R76" i="20"/>
  <c r="O110" i="27"/>
  <c r="O126" i="27"/>
  <c r="O57" i="27"/>
  <c r="H195" i="1"/>
  <c r="V98" i="20" l="1"/>
  <c r="R98" i="20"/>
  <c r="Q46" i="20"/>
  <c r="X46" i="20"/>
  <c r="H11" i="45"/>
  <c r="J11" i="45" s="1"/>
  <c r="J24" i="45" s="1"/>
  <c r="L24" i="45" s="1"/>
  <c r="V97" i="20"/>
  <c r="C62" i="27"/>
  <c r="C66" i="27" s="1"/>
  <c r="C61" i="27"/>
  <c r="C65" i="27" s="1"/>
  <c r="E62" i="27"/>
  <c r="H62" i="27"/>
  <c r="I61" i="27"/>
  <c r="G25" i="5"/>
  <c r="G27" i="5" s="1"/>
  <c r="F119" i="1" s="1"/>
  <c r="F172" i="1" s="1"/>
  <c r="F72" i="14" s="1"/>
  <c r="F62" i="27"/>
  <c r="J61" i="27"/>
  <c r="M62" i="27"/>
  <c r="K62" i="27"/>
  <c r="O112" i="27"/>
  <c r="P112" i="27" s="1"/>
  <c r="L61" i="27"/>
  <c r="O59" i="27"/>
  <c r="P59" i="27" s="1"/>
  <c r="N61" i="27"/>
  <c r="S44" i="20"/>
  <c r="R100" i="20"/>
  <c r="H438" i="37"/>
  <c r="F72" i="27"/>
  <c r="W46" i="20"/>
  <c r="S46" i="20"/>
  <c r="S76" i="20"/>
  <c r="R74" i="20"/>
  <c r="Q76" i="20"/>
  <c r="W76" i="20"/>
  <c r="M47" i="20"/>
  <c r="J96" i="20"/>
  <c r="M98" i="20"/>
  <c r="M77" i="20"/>
  <c r="X77" i="20" s="1"/>
  <c r="Q47" i="20" l="1"/>
  <c r="X47" i="20"/>
  <c r="Q98" i="20"/>
  <c r="X98" i="20"/>
  <c r="I438" i="37"/>
  <c r="G72" i="27"/>
  <c r="W47" i="20"/>
  <c r="Q106" i="20"/>
  <c r="V96" i="20"/>
  <c r="R96" i="20"/>
  <c r="Q77" i="20"/>
  <c r="W77" i="20"/>
  <c r="W98" i="20"/>
  <c r="J438" i="37" l="1"/>
  <c r="H72" i="27"/>
  <c r="K438" i="37" l="1"/>
  <c r="I72" i="27"/>
  <c r="L438" i="37" l="1"/>
  <c r="J72" i="27"/>
  <c r="M438" i="37" l="1"/>
  <c r="K72" i="27"/>
  <c r="AL1" i="9"/>
  <c r="AK1" i="9"/>
  <c r="AL101" i="9" l="1"/>
  <c r="BN101" i="9" s="1"/>
  <c r="BT101" i="9" s="1"/>
  <c r="AL146" i="9"/>
  <c r="AK89" i="9"/>
  <c r="AK154" i="9"/>
  <c r="AK90" i="9"/>
  <c r="AL32" i="9"/>
  <c r="AL154" i="9"/>
  <c r="AK34" i="9"/>
  <c r="AK33" i="9"/>
  <c r="AK61" i="9"/>
  <c r="AK60" i="9"/>
  <c r="AK56" i="9"/>
  <c r="AK79" i="9"/>
  <c r="AL56" i="9"/>
  <c r="AL79" i="9"/>
  <c r="AL93" i="9"/>
  <c r="AL59" i="9"/>
  <c r="AL35" i="9"/>
  <c r="AL26" i="9"/>
  <c r="N438" i="37"/>
  <c r="L72" i="27"/>
  <c r="AL145" i="9"/>
  <c r="AL144" i="9"/>
  <c r="AR101" i="9" l="1"/>
  <c r="AL36" i="9"/>
  <c r="AL90" i="9"/>
  <c r="AL33" i="9"/>
  <c r="AL60" i="9"/>
  <c r="O438" i="37"/>
  <c r="N72" i="27" s="1"/>
  <c r="M72" i="27"/>
  <c r="O72" i="27" l="1"/>
  <c r="P72" i="27" l="1"/>
  <c r="BF2" i="9"/>
  <c r="BG56" i="9" l="1"/>
  <c r="BG60" i="9"/>
  <c r="BG61" i="9"/>
  <c r="BH154" i="9"/>
  <c r="BG89" i="9"/>
  <c r="BG154" i="9"/>
  <c r="BG34" i="9"/>
  <c r="BG33" i="9"/>
  <c r="BG79" i="9"/>
  <c r="G79" i="10"/>
  <c r="G57" i="10" l="1"/>
  <c r="G58" i="10"/>
  <c r="G59" i="10"/>
  <c r="G60" i="10"/>
  <c r="G61" i="10"/>
  <c r="G62" i="10"/>
  <c r="G63" i="10"/>
  <c r="G64" i="10"/>
  <c r="G65" i="10"/>
  <c r="G66" i="10"/>
  <c r="G67" i="10"/>
  <c r="G68" i="10"/>
  <c r="G69" i="10"/>
  <c r="G70" i="10"/>
  <c r="G71" i="10"/>
  <c r="G72" i="10"/>
  <c r="G73" i="10"/>
  <c r="G74" i="10"/>
  <c r="G75" i="10"/>
  <c r="G76" i="10"/>
  <c r="G77" i="10"/>
  <c r="G78" i="10"/>
  <c r="G80" i="10"/>
  <c r="G81" i="10"/>
  <c r="G82" i="10"/>
  <c r="G83" i="10"/>
  <c r="G84" i="10"/>
  <c r="G85" i="10"/>
  <c r="G86" i="10"/>
  <c r="G87" i="10"/>
  <c r="G88" i="10"/>
  <c r="G89" i="10"/>
  <c r="G90" i="10"/>
  <c r="G91" i="10"/>
  <c r="G92" i="10"/>
  <c r="G93" i="10"/>
  <c r="G94" i="10"/>
  <c r="G95" i="10"/>
  <c r="G96" i="10"/>
  <c r="G97" i="10"/>
  <c r="G56" i="10"/>
  <c r="G42" i="10"/>
  <c r="G43" i="10"/>
  <c r="G44" i="10"/>
  <c r="G45" i="10"/>
  <c r="G46" i="10"/>
  <c r="G47" i="10"/>
  <c r="G48" i="10"/>
  <c r="G49" i="10"/>
  <c r="G50" i="10"/>
  <c r="G51" i="10"/>
  <c r="G52" i="10"/>
  <c r="G53" i="10"/>
  <c r="G41" i="10"/>
  <c r="G40" i="10"/>
  <c r="G27" i="10" l="1"/>
  <c r="G24" i="10"/>
  <c r="G21" i="10"/>
  <c r="BE81" i="9" l="1"/>
  <c r="BI81" i="9" s="1"/>
  <c r="G104" i="9"/>
  <c r="G109" i="9" l="1"/>
  <c r="G110" i="9"/>
  <c r="G111" i="9"/>
  <c r="G112" i="9"/>
  <c r="G113" i="9"/>
  <c r="G114" i="9"/>
  <c r="G115" i="9"/>
  <c r="G116" i="9"/>
  <c r="G117" i="9"/>
  <c r="G118" i="9"/>
  <c r="G119" i="9"/>
  <c r="G120" i="9"/>
  <c r="G121" i="9"/>
  <c r="G122" i="9"/>
  <c r="G123" i="9"/>
  <c r="G124" i="9"/>
  <c r="G125" i="9"/>
  <c r="G126" i="9"/>
  <c r="G127" i="9"/>
  <c r="G128" i="9"/>
  <c r="G129" i="9"/>
  <c r="G130" i="9"/>
  <c r="J89" i="6" l="1"/>
  <c r="K89" i="6"/>
  <c r="L89" i="6"/>
  <c r="M89" i="6"/>
  <c r="N89" i="6"/>
  <c r="O89" i="6"/>
  <c r="J90" i="6"/>
  <c r="K90" i="6"/>
  <c r="L90" i="6"/>
  <c r="M90" i="6"/>
  <c r="N90" i="6"/>
  <c r="O90" i="6"/>
  <c r="Q64" i="6"/>
  <c r="Q65" i="6"/>
  <c r="P64" i="6"/>
  <c r="P65" i="6"/>
  <c r="E66" i="6"/>
  <c r="F66" i="6"/>
  <c r="G66" i="6"/>
  <c r="H66" i="6"/>
  <c r="I66" i="6"/>
  <c r="J66" i="6"/>
  <c r="K66" i="6"/>
  <c r="L66" i="6"/>
  <c r="M66" i="6"/>
  <c r="N66" i="6"/>
  <c r="O66" i="6"/>
  <c r="D66" i="6"/>
  <c r="E25" i="6"/>
  <c r="E30" i="6" s="1"/>
  <c r="F25" i="6"/>
  <c r="F30" i="6" s="1"/>
  <c r="G25" i="6"/>
  <c r="H25" i="6"/>
  <c r="H30" i="6" s="1"/>
  <c r="I25" i="6"/>
  <c r="I30" i="6" s="1"/>
  <c r="J25" i="6"/>
  <c r="J30" i="6" s="1"/>
  <c r="K25" i="6"/>
  <c r="K30" i="6" s="1"/>
  <c r="L25" i="6"/>
  <c r="L30" i="6" s="1"/>
  <c r="M25" i="6"/>
  <c r="M30" i="6" s="1"/>
  <c r="N25" i="6"/>
  <c r="N30" i="6" s="1"/>
  <c r="O25" i="6"/>
  <c r="O30" i="6" s="1"/>
  <c r="D25" i="6"/>
  <c r="D30" i="6" s="1"/>
  <c r="Q24" i="6"/>
  <c r="P24" i="6"/>
  <c r="Q23" i="6"/>
  <c r="P23" i="6"/>
  <c r="G30" i="6" l="1"/>
  <c r="G34" i="6" s="1"/>
  <c r="G35" i="6" s="1"/>
  <c r="D34" i="6"/>
  <c r="D35" i="6" s="1"/>
  <c r="Q178" i="6"/>
  <c r="Q179" i="6"/>
  <c r="P89" i="6"/>
  <c r="P90" i="6"/>
  <c r="R24" i="6"/>
  <c r="S24" i="6" s="1"/>
  <c r="R23" i="6"/>
  <c r="S23" i="6" s="1"/>
  <c r="D153" i="27"/>
  <c r="E153" i="27"/>
  <c r="F153" i="27"/>
  <c r="G153" i="27"/>
  <c r="H153" i="27"/>
  <c r="I153" i="27"/>
  <c r="J153" i="27"/>
  <c r="K153" i="27"/>
  <c r="L153" i="27"/>
  <c r="M153" i="27"/>
  <c r="N153" i="27"/>
  <c r="C153" i="27"/>
  <c r="D49" i="27"/>
  <c r="E49" i="27"/>
  <c r="F49" i="27"/>
  <c r="G49" i="27"/>
  <c r="H49" i="27"/>
  <c r="I49" i="27"/>
  <c r="J49" i="27"/>
  <c r="K49" i="27"/>
  <c r="L49" i="27"/>
  <c r="M49" i="27"/>
  <c r="N49" i="27"/>
  <c r="D102" i="27"/>
  <c r="E102" i="27"/>
  <c r="F102" i="27"/>
  <c r="G102" i="27"/>
  <c r="H102" i="27"/>
  <c r="I102" i="27"/>
  <c r="J102" i="27"/>
  <c r="K102" i="27"/>
  <c r="L102" i="27"/>
  <c r="M102" i="27"/>
  <c r="N102" i="27"/>
  <c r="C102" i="27"/>
  <c r="E487" i="37"/>
  <c r="F487" i="37" s="1"/>
  <c r="G487" i="37" s="1"/>
  <c r="H487" i="37" s="1"/>
  <c r="I487" i="37" s="1"/>
  <c r="J487" i="37" s="1"/>
  <c r="K487" i="37" s="1"/>
  <c r="L487" i="37" s="1"/>
  <c r="M487" i="37" s="1"/>
  <c r="N487" i="37" s="1"/>
  <c r="O487" i="37" s="1"/>
  <c r="P486" i="37"/>
  <c r="E484" i="37"/>
  <c r="F484" i="37" s="1"/>
  <c r="G484" i="37" s="1"/>
  <c r="H484" i="37" s="1"/>
  <c r="I484" i="37" s="1"/>
  <c r="J484" i="37" s="1"/>
  <c r="K484" i="37" s="1"/>
  <c r="L484" i="37" s="1"/>
  <c r="M484" i="37" s="1"/>
  <c r="N484" i="37" s="1"/>
  <c r="O484" i="37" s="1"/>
  <c r="P483" i="37"/>
  <c r="E481" i="37"/>
  <c r="F481" i="37" s="1"/>
  <c r="G481" i="37" s="1"/>
  <c r="H481" i="37" s="1"/>
  <c r="I481" i="37" s="1"/>
  <c r="J481" i="37" s="1"/>
  <c r="K481" i="37" s="1"/>
  <c r="L481" i="37" s="1"/>
  <c r="M481" i="37" s="1"/>
  <c r="N481" i="37" s="1"/>
  <c r="O481" i="37" s="1"/>
  <c r="P480" i="37"/>
  <c r="E469" i="37"/>
  <c r="D123" i="6" s="1"/>
  <c r="E468" i="37"/>
  <c r="D121" i="6" s="1"/>
  <c r="D111" i="6" s="1"/>
  <c r="E467" i="37"/>
  <c r="F467" i="37" s="1"/>
  <c r="G467" i="37" s="1"/>
  <c r="H467" i="37" s="1"/>
  <c r="I467" i="37" s="1"/>
  <c r="J467" i="37" s="1"/>
  <c r="K467" i="37" s="1"/>
  <c r="L467" i="37" s="1"/>
  <c r="M467" i="37" s="1"/>
  <c r="N467" i="37" s="1"/>
  <c r="O467" i="37" s="1"/>
  <c r="E466" i="37"/>
  <c r="F466" i="37" s="1"/>
  <c r="G466" i="37" s="1"/>
  <c r="H466" i="37" s="1"/>
  <c r="I466" i="37" s="1"/>
  <c r="J466" i="37" s="1"/>
  <c r="K466" i="37" s="1"/>
  <c r="L466" i="37" s="1"/>
  <c r="M466" i="37" s="1"/>
  <c r="N466" i="37" s="1"/>
  <c r="O466" i="37" s="1"/>
  <c r="P465" i="37"/>
  <c r="P464" i="37"/>
  <c r="P463" i="37"/>
  <c r="P462" i="37"/>
  <c r="E453" i="37"/>
  <c r="F453" i="37" s="1"/>
  <c r="G453" i="37" s="1"/>
  <c r="H453" i="37" s="1"/>
  <c r="I453" i="37" s="1"/>
  <c r="J453" i="37" s="1"/>
  <c r="K453" i="37" s="1"/>
  <c r="L453" i="37" s="1"/>
  <c r="M453" i="37" s="1"/>
  <c r="N453" i="37" s="1"/>
  <c r="O453" i="37" s="1"/>
  <c r="E452" i="37"/>
  <c r="F452" i="37" s="1"/>
  <c r="G452" i="37" s="1"/>
  <c r="H452" i="37" s="1"/>
  <c r="I452" i="37" s="1"/>
  <c r="J452" i="37" s="1"/>
  <c r="K452" i="37" s="1"/>
  <c r="L452" i="37" s="1"/>
  <c r="M452" i="37" s="1"/>
  <c r="N452" i="37" s="1"/>
  <c r="O452" i="37" s="1"/>
  <c r="E451" i="37"/>
  <c r="F451" i="37" s="1"/>
  <c r="G451" i="37" s="1"/>
  <c r="H451" i="37" s="1"/>
  <c r="J451" i="37" s="1"/>
  <c r="K451" i="37" s="1"/>
  <c r="L451" i="37" s="1"/>
  <c r="M451" i="37" s="1"/>
  <c r="N451" i="37" s="1"/>
  <c r="O451" i="37" s="1"/>
  <c r="P450" i="37"/>
  <c r="P449" i="37"/>
  <c r="P448" i="37"/>
  <c r="E446" i="37"/>
  <c r="F446" i="37" s="1"/>
  <c r="G446" i="37" s="1"/>
  <c r="H446" i="37" s="1"/>
  <c r="I446" i="37" s="1"/>
  <c r="J446" i="37" s="1"/>
  <c r="K446" i="37" s="1"/>
  <c r="L446" i="37" s="1"/>
  <c r="M446" i="37" s="1"/>
  <c r="N446" i="37" s="1"/>
  <c r="O446" i="37" s="1"/>
  <c r="E445" i="37"/>
  <c r="F445" i="37" s="1"/>
  <c r="G445" i="37" s="1"/>
  <c r="H445" i="37" s="1"/>
  <c r="I445" i="37" s="1"/>
  <c r="J445" i="37" s="1"/>
  <c r="K445" i="37" s="1"/>
  <c r="L445" i="37" s="1"/>
  <c r="M445" i="37" s="1"/>
  <c r="N445" i="37" s="1"/>
  <c r="O445" i="37" s="1"/>
  <c r="E444" i="37"/>
  <c r="F444" i="37" s="1"/>
  <c r="G444" i="37" s="1"/>
  <c r="H444" i="37" s="1"/>
  <c r="J444" i="37" s="1"/>
  <c r="K444" i="37" s="1"/>
  <c r="L444" i="37" s="1"/>
  <c r="M444" i="37" s="1"/>
  <c r="N444" i="37" s="1"/>
  <c r="O444" i="37" s="1"/>
  <c r="P442" i="37"/>
  <c r="P441" i="37"/>
  <c r="E434" i="37"/>
  <c r="F434" i="37" s="1"/>
  <c r="G434" i="37" s="1"/>
  <c r="H434" i="37" s="1"/>
  <c r="I434" i="37" s="1"/>
  <c r="J434" i="37" s="1"/>
  <c r="K434" i="37" s="1"/>
  <c r="L434" i="37" s="1"/>
  <c r="M434" i="37" s="1"/>
  <c r="N434" i="37" s="1"/>
  <c r="O434" i="37" s="1"/>
  <c r="E433" i="37"/>
  <c r="F433" i="37" s="1"/>
  <c r="G433" i="37" s="1"/>
  <c r="H433" i="37" s="1"/>
  <c r="J433" i="37" s="1"/>
  <c r="K433" i="37" s="1"/>
  <c r="L433" i="37" s="1"/>
  <c r="M433" i="37" s="1"/>
  <c r="N433" i="37" s="1"/>
  <c r="O433" i="37" s="1"/>
  <c r="P432" i="37"/>
  <c r="P431" i="37"/>
  <c r="E429" i="37"/>
  <c r="F429" i="37" s="1"/>
  <c r="G429" i="37" s="1"/>
  <c r="H429" i="37" s="1"/>
  <c r="I429" i="37" s="1"/>
  <c r="J429" i="37" s="1"/>
  <c r="K429" i="37" s="1"/>
  <c r="L429" i="37" s="1"/>
  <c r="M429" i="37" s="1"/>
  <c r="N429" i="37" s="1"/>
  <c r="O429" i="37" s="1"/>
  <c r="E428" i="37"/>
  <c r="F428" i="37" s="1"/>
  <c r="G428" i="37" s="1"/>
  <c r="H428" i="37" s="1"/>
  <c r="J428" i="37" s="1"/>
  <c r="K428" i="37" s="1"/>
  <c r="L428" i="37" s="1"/>
  <c r="M428" i="37" s="1"/>
  <c r="N428" i="37" s="1"/>
  <c r="O428" i="37" s="1"/>
  <c r="P427" i="37"/>
  <c r="D116" i="6" l="1"/>
  <c r="D127" i="6"/>
  <c r="D129" i="6" s="1"/>
  <c r="D117" i="6"/>
  <c r="D112" i="6"/>
  <c r="P30" i="6"/>
  <c r="F468" i="37"/>
  <c r="E121" i="6" s="1"/>
  <c r="E127" i="6" s="1"/>
  <c r="G120" i="1"/>
  <c r="F469" i="37"/>
  <c r="E123" i="6" s="1"/>
  <c r="E117" i="6" s="1"/>
  <c r="E112" i="6" l="1"/>
  <c r="E116" i="6"/>
  <c r="E111" i="6"/>
  <c r="E129" i="6"/>
  <c r="G468" i="37"/>
  <c r="F121" i="6" s="1"/>
  <c r="F127" i="6" s="1"/>
  <c r="P400" i="37"/>
  <c r="G134" i="1" s="1"/>
  <c r="G469" i="37"/>
  <c r="F123" i="6" s="1"/>
  <c r="F117" i="6" s="1"/>
  <c r="E73" i="27"/>
  <c r="P398" i="37"/>
  <c r="D73" i="27"/>
  <c r="P402" i="37"/>
  <c r="I405" i="37"/>
  <c r="I406" i="37" s="1"/>
  <c r="G405" i="37"/>
  <c r="G406" i="37" s="1"/>
  <c r="O405" i="37"/>
  <c r="O406" i="37" s="1"/>
  <c r="J405" i="37"/>
  <c r="J406" i="37" s="1"/>
  <c r="P404" i="37"/>
  <c r="H405" i="37"/>
  <c r="H406" i="37" s="1"/>
  <c r="K405" i="37"/>
  <c r="K406" i="37" s="1"/>
  <c r="N405" i="37"/>
  <c r="N406" i="37" s="1"/>
  <c r="F405" i="37"/>
  <c r="F406" i="37" s="1"/>
  <c r="M405" i="37"/>
  <c r="M406" i="37" s="1"/>
  <c r="L405" i="37"/>
  <c r="L406" i="37" s="1"/>
  <c r="P306" i="37"/>
  <c r="P307" i="37"/>
  <c r="P308" i="37"/>
  <c r="P309" i="37"/>
  <c r="P310" i="37"/>
  <c r="P311" i="37"/>
  <c r="P312" i="37"/>
  <c r="P304" i="37"/>
  <c r="P313" i="37" s="1"/>
  <c r="P305" i="37"/>
  <c r="E313" i="37"/>
  <c r="F313" i="37"/>
  <c r="G313" i="37"/>
  <c r="H313" i="37"/>
  <c r="I313" i="37"/>
  <c r="J313" i="37"/>
  <c r="K313" i="37"/>
  <c r="L313" i="37"/>
  <c r="M313" i="37"/>
  <c r="N313" i="37"/>
  <c r="O313" i="37"/>
  <c r="D313" i="37"/>
  <c r="P295" i="37"/>
  <c r="P297" i="37"/>
  <c r="P298" i="37"/>
  <c r="P299" i="37"/>
  <c r="P300" i="37"/>
  <c r="P301" i="37"/>
  <c r="P302" i="37"/>
  <c r="P296" i="37"/>
  <c r="E303" i="37"/>
  <c r="F303" i="37"/>
  <c r="G303" i="37"/>
  <c r="H303" i="37"/>
  <c r="I303" i="37"/>
  <c r="J303" i="37"/>
  <c r="K303" i="37"/>
  <c r="L303" i="37"/>
  <c r="M303" i="37"/>
  <c r="N303" i="37"/>
  <c r="O303" i="37"/>
  <c r="D303" i="37"/>
  <c r="P286" i="37"/>
  <c r="P288" i="37"/>
  <c r="P289" i="37"/>
  <c r="P290" i="37"/>
  <c r="P291" i="37"/>
  <c r="P292" i="37"/>
  <c r="P293" i="37"/>
  <c r="P287" i="37"/>
  <c r="E294" i="37"/>
  <c r="F294" i="37"/>
  <c r="G294" i="37"/>
  <c r="H294" i="37"/>
  <c r="I294" i="37"/>
  <c r="J294" i="37"/>
  <c r="K294" i="37"/>
  <c r="L294" i="37"/>
  <c r="M294" i="37"/>
  <c r="N294" i="37"/>
  <c r="O294" i="37"/>
  <c r="D294" i="37"/>
  <c r="P279" i="37"/>
  <c r="P280" i="37"/>
  <c r="P281" i="37"/>
  <c r="P282" i="37"/>
  <c r="P283" i="37"/>
  <c r="P284" i="37"/>
  <c r="P277" i="37"/>
  <c r="P278" i="37"/>
  <c r="E285" i="37"/>
  <c r="F285" i="37"/>
  <c r="G285" i="37"/>
  <c r="H285" i="37"/>
  <c r="I285" i="37"/>
  <c r="J285" i="37"/>
  <c r="K285" i="37"/>
  <c r="L285" i="37"/>
  <c r="M285" i="37"/>
  <c r="N285" i="37"/>
  <c r="O285" i="37"/>
  <c r="D285" i="37"/>
  <c r="P268" i="37"/>
  <c r="P270" i="37"/>
  <c r="P271" i="37"/>
  <c r="P272" i="37"/>
  <c r="P273" i="37"/>
  <c r="P274" i="37"/>
  <c r="P275" i="37"/>
  <c r="P269" i="37"/>
  <c r="E276" i="37"/>
  <c r="F276" i="37"/>
  <c r="G276" i="37"/>
  <c r="H276" i="37"/>
  <c r="I276" i="37"/>
  <c r="J276" i="37"/>
  <c r="K276" i="37"/>
  <c r="L276" i="37"/>
  <c r="M276" i="37"/>
  <c r="N276" i="37"/>
  <c r="O276" i="37"/>
  <c r="D276" i="37"/>
  <c r="P260" i="37"/>
  <c r="P261" i="37"/>
  <c r="P262" i="37"/>
  <c r="P263" i="37"/>
  <c r="P264" i="37"/>
  <c r="P265" i="37"/>
  <c r="P266" i="37"/>
  <c r="P259" i="37"/>
  <c r="E267" i="37"/>
  <c r="F267" i="37"/>
  <c r="G267" i="37"/>
  <c r="H267" i="37"/>
  <c r="I267" i="37"/>
  <c r="J267" i="37"/>
  <c r="K267" i="37"/>
  <c r="L267" i="37"/>
  <c r="M267" i="37"/>
  <c r="N267" i="37"/>
  <c r="O267" i="37"/>
  <c r="D267" i="37"/>
  <c r="E258" i="37"/>
  <c r="F258" i="37"/>
  <c r="G258" i="37"/>
  <c r="H258" i="37"/>
  <c r="I258" i="37"/>
  <c r="J258" i="37"/>
  <c r="K258" i="37"/>
  <c r="L258" i="37"/>
  <c r="M258" i="37"/>
  <c r="N258" i="37"/>
  <c r="O258" i="37"/>
  <c r="D258" i="37"/>
  <c r="P252" i="37"/>
  <c r="P253" i="37"/>
  <c r="P254" i="37"/>
  <c r="P255" i="37"/>
  <c r="P256" i="37"/>
  <c r="P257" i="37"/>
  <c r="P250" i="37"/>
  <c r="P251" i="37"/>
  <c r="P237" i="37"/>
  <c r="E249" i="37"/>
  <c r="F249" i="37"/>
  <c r="G249" i="37"/>
  <c r="H249" i="37"/>
  <c r="I249" i="37"/>
  <c r="J249" i="37"/>
  <c r="K249" i="37"/>
  <c r="L249" i="37"/>
  <c r="M249" i="37"/>
  <c r="N249" i="37"/>
  <c r="O249" i="37"/>
  <c r="D249" i="37"/>
  <c r="P236" i="37"/>
  <c r="P238" i="37"/>
  <c r="P239" i="37"/>
  <c r="P240" i="37"/>
  <c r="P241" i="37"/>
  <c r="P242" i="37"/>
  <c r="P243" i="37"/>
  <c r="P244" i="37"/>
  <c r="P245" i="37"/>
  <c r="P246" i="37"/>
  <c r="P247" i="37"/>
  <c r="P248" i="37"/>
  <c r="E235" i="37"/>
  <c r="F235" i="37"/>
  <c r="G235" i="37"/>
  <c r="H235" i="37"/>
  <c r="I235" i="37"/>
  <c r="J235" i="37"/>
  <c r="K235" i="37"/>
  <c r="L235" i="37"/>
  <c r="M235" i="37"/>
  <c r="N235" i="37"/>
  <c r="O235" i="37"/>
  <c r="D235" i="37"/>
  <c r="P222" i="37"/>
  <c r="P223" i="37"/>
  <c r="P225" i="37"/>
  <c r="P226" i="37"/>
  <c r="P227" i="37"/>
  <c r="P228" i="37"/>
  <c r="P229" i="37"/>
  <c r="P230" i="37"/>
  <c r="P231" i="37"/>
  <c r="P232" i="37"/>
  <c r="P233" i="37"/>
  <c r="P234" i="37"/>
  <c r="P224" i="37"/>
  <c r="P213" i="37"/>
  <c r="P214" i="37"/>
  <c r="P215" i="37"/>
  <c r="P216" i="37"/>
  <c r="P217" i="37"/>
  <c r="P218" i="37"/>
  <c r="P219" i="37"/>
  <c r="P220" i="37"/>
  <c r="P210" i="37"/>
  <c r="P211" i="37"/>
  <c r="P212" i="37"/>
  <c r="E221" i="37"/>
  <c r="F221" i="37"/>
  <c r="G221" i="37"/>
  <c r="H221" i="37"/>
  <c r="I221" i="37"/>
  <c r="J221" i="37"/>
  <c r="K221" i="37"/>
  <c r="L221" i="37"/>
  <c r="M221" i="37"/>
  <c r="N221" i="37"/>
  <c r="O221" i="37"/>
  <c r="D221" i="37"/>
  <c r="P180" i="37"/>
  <c r="P181" i="37"/>
  <c r="P183" i="37"/>
  <c r="P184" i="37"/>
  <c r="P185" i="37"/>
  <c r="P186" i="37"/>
  <c r="P187" i="37"/>
  <c r="P188" i="37"/>
  <c r="P189" i="37"/>
  <c r="P190" i="37"/>
  <c r="P191" i="37"/>
  <c r="P192" i="37"/>
  <c r="P193" i="37"/>
  <c r="P182" i="37"/>
  <c r="E194" i="37"/>
  <c r="F194" i="37"/>
  <c r="G194" i="37"/>
  <c r="H194" i="37"/>
  <c r="I194" i="37"/>
  <c r="J194" i="37"/>
  <c r="K194" i="37"/>
  <c r="L194" i="37"/>
  <c r="M194" i="37"/>
  <c r="N194" i="37"/>
  <c r="O194" i="37"/>
  <c r="D194" i="37"/>
  <c r="P153" i="37"/>
  <c r="P152" i="37"/>
  <c r="E164" i="37"/>
  <c r="F164" i="37"/>
  <c r="G164" i="37"/>
  <c r="H164" i="37"/>
  <c r="I164" i="37"/>
  <c r="J164" i="37"/>
  <c r="K164" i="37"/>
  <c r="L164" i="37"/>
  <c r="M164" i="37"/>
  <c r="N164" i="37"/>
  <c r="O164" i="37"/>
  <c r="D164" i="37"/>
  <c r="E119" i="37"/>
  <c r="F119" i="37"/>
  <c r="G119" i="37"/>
  <c r="H119" i="37"/>
  <c r="I119" i="37"/>
  <c r="J119" i="37"/>
  <c r="K119" i="37"/>
  <c r="L119" i="37"/>
  <c r="M119" i="37"/>
  <c r="N119" i="37"/>
  <c r="O119" i="37"/>
  <c r="D119" i="37"/>
  <c r="P105" i="37"/>
  <c r="P106" i="37"/>
  <c r="P107" i="37"/>
  <c r="P109" i="37"/>
  <c r="P110" i="37"/>
  <c r="P111" i="37"/>
  <c r="P112" i="37"/>
  <c r="P113" i="37"/>
  <c r="P114" i="37"/>
  <c r="P115" i="37"/>
  <c r="P116" i="37"/>
  <c r="P117" i="37"/>
  <c r="P118" i="37"/>
  <c r="P108" i="37"/>
  <c r="P135" i="37"/>
  <c r="P136" i="37"/>
  <c r="P137" i="37"/>
  <c r="P139" i="37"/>
  <c r="P140" i="37"/>
  <c r="P141" i="37"/>
  <c r="P142" i="37"/>
  <c r="P143" i="37"/>
  <c r="P144" i="37"/>
  <c r="P145" i="37"/>
  <c r="P146" i="37"/>
  <c r="P147" i="37"/>
  <c r="P148" i="37"/>
  <c r="P138" i="37"/>
  <c r="E149" i="37"/>
  <c r="F149" i="37"/>
  <c r="G149" i="37"/>
  <c r="H149" i="37"/>
  <c r="I149" i="37"/>
  <c r="J149" i="37"/>
  <c r="K149" i="37"/>
  <c r="L149" i="37"/>
  <c r="M149" i="37"/>
  <c r="N149" i="37"/>
  <c r="O149" i="37"/>
  <c r="D149" i="37"/>
  <c r="E104" i="37"/>
  <c r="E334" i="37" s="1"/>
  <c r="F104" i="37"/>
  <c r="F334" i="37" s="1"/>
  <c r="G104" i="37"/>
  <c r="G334" i="37" s="1"/>
  <c r="H104" i="37"/>
  <c r="H334" i="37" s="1"/>
  <c r="I104" i="37"/>
  <c r="I334" i="37" s="1"/>
  <c r="J104" i="37"/>
  <c r="J334" i="37" s="1"/>
  <c r="K104" i="37"/>
  <c r="K334" i="37" s="1"/>
  <c r="L104" i="37"/>
  <c r="L334" i="37" s="1"/>
  <c r="M104" i="37"/>
  <c r="N104" i="37"/>
  <c r="O104" i="37"/>
  <c r="D104" i="37"/>
  <c r="P90" i="37"/>
  <c r="P91" i="37"/>
  <c r="P92" i="37"/>
  <c r="P93" i="37"/>
  <c r="P95" i="37"/>
  <c r="P96" i="37"/>
  <c r="P97" i="37"/>
  <c r="P98" i="37"/>
  <c r="P99" i="37"/>
  <c r="P100" i="37"/>
  <c r="P101" i="37"/>
  <c r="P102" i="37"/>
  <c r="P103" i="37"/>
  <c r="P94" i="37"/>
  <c r="E89" i="37"/>
  <c r="F89" i="37"/>
  <c r="G89" i="37"/>
  <c r="H89" i="37"/>
  <c r="I89" i="37"/>
  <c r="J89" i="37"/>
  <c r="K89" i="37"/>
  <c r="L89" i="37"/>
  <c r="M89" i="37"/>
  <c r="N89" i="37"/>
  <c r="O89" i="37"/>
  <c r="P77" i="37"/>
  <c r="P78" i="37"/>
  <c r="P79" i="37"/>
  <c r="P80" i="37"/>
  <c r="P81" i="37"/>
  <c r="P82" i="37"/>
  <c r="P83" i="37"/>
  <c r="P84" i="37"/>
  <c r="P85" i="37"/>
  <c r="P86" i="37"/>
  <c r="P87" i="37"/>
  <c r="P88" i="37"/>
  <c r="P76" i="37"/>
  <c r="E74" i="37"/>
  <c r="F74" i="37"/>
  <c r="G74" i="37"/>
  <c r="H74" i="37"/>
  <c r="H326" i="37" s="1"/>
  <c r="I74" i="37"/>
  <c r="J74" i="37"/>
  <c r="K74" i="37"/>
  <c r="L74" i="37"/>
  <c r="N74" i="37"/>
  <c r="O74" i="37"/>
  <c r="P62" i="37"/>
  <c r="P63" i="37"/>
  <c r="P64" i="37"/>
  <c r="P65" i="37"/>
  <c r="P66" i="37"/>
  <c r="P67" i="37"/>
  <c r="P68" i="37"/>
  <c r="P69" i="37"/>
  <c r="P70" i="37"/>
  <c r="P71" i="37"/>
  <c r="P72" i="37"/>
  <c r="P61" i="37"/>
  <c r="P221" i="37" l="1"/>
  <c r="D334" i="37"/>
  <c r="O334" i="37"/>
  <c r="N334" i="37"/>
  <c r="M334" i="37"/>
  <c r="F326" i="37"/>
  <c r="P303" i="37"/>
  <c r="E326" i="37"/>
  <c r="E134" i="1"/>
  <c r="P406" i="37"/>
  <c r="P408" i="37" s="1"/>
  <c r="P164" i="37"/>
  <c r="G326" i="37"/>
  <c r="P104" i="37"/>
  <c r="P285" i="37"/>
  <c r="D326" i="37"/>
  <c r="P194" i="37"/>
  <c r="M326" i="37"/>
  <c r="N326" i="37"/>
  <c r="L326" i="37"/>
  <c r="P258" i="37"/>
  <c r="O326" i="37"/>
  <c r="K326" i="37"/>
  <c r="P119" i="37"/>
  <c r="F112" i="6"/>
  <c r="J326" i="37"/>
  <c r="P294" i="37"/>
  <c r="I326" i="37"/>
  <c r="P149" i="37"/>
  <c r="C31" i="27"/>
  <c r="H468" i="37"/>
  <c r="G121" i="6" s="1"/>
  <c r="F116" i="6"/>
  <c r="F129" i="6"/>
  <c r="F111" i="6"/>
  <c r="H469" i="37"/>
  <c r="G123" i="6" s="1"/>
  <c r="G112" i="6" s="1"/>
  <c r="P89" i="37"/>
  <c r="P235" i="37"/>
  <c r="P249" i="37"/>
  <c r="P74" i="37"/>
  <c r="P276" i="37"/>
  <c r="P267" i="37"/>
  <c r="P326" i="37" l="1"/>
  <c r="G117" i="6"/>
  <c r="G127" i="6"/>
  <c r="G129" i="6" s="1"/>
  <c r="G118" i="6"/>
  <c r="G111" i="6"/>
  <c r="G113" i="6" s="1"/>
  <c r="I468" i="37"/>
  <c r="H121" i="6" s="1"/>
  <c r="F73" i="27"/>
  <c r="I469" i="37"/>
  <c r="H123" i="6" s="1"/>
  <c r="H112" i="6" s="1"/>
  <c r="G73" i="27"/>
  <c r="H127" i="6" l="1"/>
  <c r="H129" i="6" s="1"/>
  <c r="H117" i="6"/>
  <c r="H116" i="6"/>
  <c r="H118" i="6" s="1"/>
  <c r="H111" i="6"/>
  <c r="H113" i="6" s="1"/>
  <c r="J468" i="37"/>
  <c r="I121" i="6" s="1"/>
  <c r="J469" i="37"/>
  <c r="I123" i="6" s="1"/>
  <c r="I112" i="6" s="1"/>
  <c r="H73" i="27"/>
  <c r="C100" i="6"/>
  <c r="I127" i="6" l="1"/>
  <c r="I129" i="6" s="1"/>
  <c r="I117" i="6"/>
  <c r="I116" i="6"/>
  <c r="I118" i="6" s="1"/>
  <c r="I111" i="6"/>
  <c r="I113" i="6" s="1"/>
  <c r="K468" i="37"/>
  <c r="J121" i="6" s="1"/>
  <c r="K469" i="37"/>
  <c r="J123" i="6" s="1"/>
  <c r="J112" i="6" s="1"/>
  <c r="J127" i="6" l="1"/>
  <c r="J129" i="6" s="1"/>
  <c r="J117" i="6"/>
  <c r="L468" i="37"/>
  <c r="K121" i="6" s="1"/>
  <c r="J111" i="6"/>
  <c r="J113" i="6" s="1"/>
  <c r="J116" i="6"/>
  <c r="J118" i="6" s="1"/>
  <c r="I73" i="27"/>
  <c r="L469" i="37"/>
  <c r="K123" i="6" s="1"/>
  <c r="K112" i="6" s="1"/>
  <c r="J73" i="27"/>
  <c r="J90" i="20"/>
  <c r="K127" i="6" l="1"/>
  <c r="K129" i="6" s="1"/>
  <c r="K117" i="6"/>
  <c r="M468" i="37"/>
  <c r="L121" i="6" s="1"/>
  <c r="K116" i="6"/>
  <c r="K118" i="6" s="1"/>
  <c r="K111" i="6"/>
  <c r="K113" i="6" s="1"/>
  <c r="M469" i="37"/>
  <c r="L123" i="6" s="1"/>
  <c r="T128" i="6" s="1"/>
  <c r="I70" i="14"/>
  <c r="L127" i="6" l="1"/>
  <c r="L129" i="6" s="1"/>
  <c r="L117" i="6"/>
  <c r="L112" i="6"/>
  <c r="T127" i="6"/>
  <c r="T129" i="6" s="1"/>
  <c r="L116" i="6"/>
  <c r="L118" i="6" s="1"/>
  <c r="L111" i="6"/>
  <c r="L113" i="6" s="1"/>
  <c r="N468" i="37"/>
  <c r="M121" i="6" s="1"/>
  <c r="N469" i="37"/>
  <c r="M123" i="6" s="1"/>
  <c r="M112" i="6" s="1"/>
  <c r="L73" i="27"/>
  <c r="K73" i="27"/>
  <c r="P106" i="6"/>
  <c r="P105" i="6"/>
  <c r="M127" i="6" l="1"/>
  <c r="M117" i="6"/>
  <c r="O468" i="37"/>
  <c r="N121" i="6" s="1"/>
  <c r="M116" i="6"/>
  <c r="M118" i="6" s="1"/>
  <c r="M129" i="6"/>
  <c r="M111" i="6"/>
  <c r="M113" i="6" s="1"/>
  <c r="O469" i="37"/>
  <c r="N123" i="6" s="1"/>
  <c r="N117" i="6" s="1"/>
  <c r="M73" i="27"/>
  <c r="K58" i="18"/>
  <c r="K56" i="18"/>
  <c r="K48" i="18"/>
  <c r="K44" i="18"/>
  <c r="K52" i="18"/>
  <c r="N127" i="6" l="1"/>
  <c r="N129" i="6" s="1"/>
  <c r="N112" i="6"/>
  <c r="N116" i="6"/>
  <c r="N118" i="6" s="1"/>
  <c r="N111" i="6"/>
  <c r="N113" i="6" s="1"/>
  <c r="O116" i="6"/>
  <c r="O111" i="6"/>
  <c r="O117" i="6"/>
  <c r="P117" i="6" s="1"/>
  <c r="O112" i="6"/>
  <c r="P112" i="6" s="1"/>
  <c r="N73" i="27"/>
  <c r="O118" i="6" l="1"/>
  <c r="P116" i="6"/>
  <c r="O113" i="6"/>
  <c r="P111" i="6"/>
  <c r="O73" i="27"/>
  <c r="P405" i="37" l="1"/>
  <c r="F78" i="18" l="1"/>
  <c r="I78" i="18" s="1"/>
  <c r="I107" i="18" s="1"/>
  <c r="F77" i="18"/>
  <c r="I77" i="18" s="1"/>
  <c r="F76" i="18"/>
  <c r="I76" i="18" s="1"/>
  <c r="F75" i="18"/>
  <c r="I75" i="18" s="1"/>
  <c r="F103" i="18" l="1"/>
  <c r="G132" i="9" l="1"/>
  <c r="G131" i="9"/>
  <c r="AX145" i="9"/>
  <c r="BE14" i="9" l="1"/>
  <c r="BE21" i="9"/>
  <c r="BE24" i="9"/>
  <c r="BE5" i="9"/>
  <c r="BE16" i="9"/>
  <c r="BE17" i="9"/>
  <c r="BE23" i="9"/>
  <c r="BE8" i="9"/>
  <c r="BE15" i="9"/>
  <c r="BE25" i="9"/>
  <c r="BE4" i="9"/>
  <c r="BE7" i="9"/>
  <c r="BE11" i="9"/>
  <c r="BE19" i="9"/>
  <c r="BE13" i="9"/>
  <c r="BE9" i="9"/>
  <c r="BE10" i="9"/>
  <c r="BE20" i="9"/>
  <c r="BE22" i="9"/>
  <c r="BE6" i="9"/>
  <c r="BJ6" i="9" s="1"/>
  <c r="BE12" i="9"/>
  <c r="BE18" i="9"/>
  <c r="BE129" i="9"/>
  <c r="BE148" i="9"/>
  <c r="BE97" i="9"/>
  <c r="BE151" i="9"/>
  <c r="BE147" i="9"/>
  <c r="I60" i="18"/>
  <c r="L72" i="18" l="1"/>
  <c r="M72" i="18"/>
  <c r="AQ102" i="9"/>
  <c r="AQ103" i="9"/>
  <c r="G77" i="9"/>
  <c r="G76" i="9"/>
  <c r="G73" i="9"/>
  <c r="G72" i="9"/>
  <c r="G70" i="9"/>
  <c r="AL92" i="9"/>
  <c r="G39" i="10" l="1"/>
  <c r="G38" i="10"/>
  <c r="G37" i="10"/>
  <c r="G36" i="10"/>
  <c r="G34" i="10"/>
  <c r="G32" i="10"/>
  <c r="G31" i="10"/>
  <c r="G30" i="10"/>
  <c r="G29" i="10"/>
  <c r="G28" i="10"/>
  <c r="G25" i="10"/>
  <c r="G23" i="10"/>
  <c r="G22" i="10"/>
  <c r="N17" i="7" l="1"/>
  <c r="N16" i="7"/>
  <c r="N15" i="7"/>
  <c r="N14" i="7"/>
  <c r="N13" i="7"/>
  <c r="N12" i="7"/>
  <c r="N11" i="7"/>
  <c r="D134" i="27" l="1"/>
  <c r="E134" i="27"/>
  <c r="F134" i="27"/>
  <c r="G134" i="27"/>
  <c r="H134" i="27"/>
  <c r="I134" i="27"/>
  <c r="J134" i="27"/>
  <c r="K134" i="27"/>
  <c r="L134" i="27"/>
  <c r="M134" i="27"/>
  <c r="N134" i="27"/>
  <c r="D135" i="27"/>
  <c r="E135" i="27"/>
  <c r="F135" i="27"/>
  <c r="G135" i="27"/>
  <c r="H135" i="27"/>
  <c r="I135" i="27"/>
  <c r="J135" i="27"/>
  <c r="K135" i="27"/>
  <c r="L135" i="27"/>
  <c r="M135" i="27"/>
  <c r="N135" i="27"/>
  <c r="D136" i="27"/>
  <c r="E136" i="27"/>
  <c r="F136" i="27"/>
  <c r="G136" i="27"/>
  <c r="H136" i="27"/>
  <c r="I136" i="27"/>
  <c r="J136" i="27"/>
  <c r="K136" i="27"/>
  <c r="L136" i="27"/>
  <c r="M136" i="27"/>
  <c r="N136" i="27"/>
  <c r="C136" i="27"/>
  <c r="C135" i="27"/>
  <c r="C134" i="27"/>
  <c r="D81" i="27"/>
  <c r="E81" i="27"/>
  <c r="F81" i="27"/>
  <c r="G81" i="27"/>
  <c r="H81" i="27"/>
  <c r="I81" i="27"/>
  <c r="J81" i="27"/>
  <c r="K81" i="27"/>
  <c r="L81" i="27"/>
  <c r="M81" i="27"/>
  <c r="N81" i="27"/>
  <c r="D82" i="27"/>
  <c r="E82" i="27"/>
  <c r="F82" i="27"/>
  <c r="G82" i="27"/>
  <c r="H82" i="27"/>
  <c r="I82" i="27"/>
  <c r="J82" i="27"/>
  <c r="K82" i="27"/>
  <c r="L82" i="27"/>
  <c r="M82" i="27"/>
  <c r="N82" i="27"/>
  <c r="C82" i="27"/>
  <c r="C81" i="27"/>
  <c r="D28" i="27"/>
  <c r="E28" i="27"/>
  <c r="F28" i="27"/>
  <c r="H28" i="27"/>
  <c r="I28" i="27"/>
  <c r="J28" i="27"/>
  <c r="K28" i="27"/>
  <c r="L28" i="27"/>
  <c r="M28" i="27"/>
  <c r="N28" i="27"/>
  <c r="D29" i="27"/>
  <c r="E29" i="27"/>
  <c r="F29" i="27"/>
  <c r="G29" i="27"/>
  <c r="H29" i="27"/>
  <c r="I29" i="27"/>
  <c r="J29" i="27"/>
  <c r="K29" i="27"/>
  <c r="L29" i="27"/>
  <c r="M29" i="27"/>
  <c r="N29" i="27"/>
  <c r="C29" i="27"/>
  <c r="C28" i="27"/>
  <c r="E333" i="37"/>
  <c r="F333" i="37"/>
  <c r="G333" i="37"/>
  <c r="H333" i="37"/>
  <c r="I333" i="37"/>
  <c r="J333" i="37"/>
  <c r="K333" i="37"/>
  <c r="L333" i="37"/>
  <c r="M333" i="37"/>
  <c r="N333" i="37"/>
  <c r="O333" i="37"/>
  <c r="E340" i="37"/>
  <c r="F340" i="37"/>
  <c r="G340" i="37"/>
  <c r="H340" i="37"/>
  <c r="I340" i="37"/>
  <c r="J340" i="37"/>
  <c r="K340" i="37"/>
  <c r="L340" i="37"/>
  <c r="M340" i="37"/>
  <c r="N340" i="37"/>
  <c r="O340" i="37"/>
  <c r="E342" i="37"/>
  <c r="F342" i="37"/>
  <c r="G342" i="37"/>
  <c r="H342" i="37"/>
  <c r="I342" i="37"/>
  <c r="J342" i="37"/>
  <c r="K342" i="37"/>
  <c r="L342" i="37"/>
  <c r="M342" i="37"/>
  <c r="N342" i="37"/>
  <c r="O342" i="37"/>
  <c r="E343" i="37"/>
  <c r="F343" i="37"/>
  <c r="G343" i="37"/>
  <c r="H343" i="37"/>
  <c r="I343" i="37"/>
  <c r="J343" i="37"/>
  <c r="K343" i="37"/>
  <c r="L343" i="37"/>
  <c r="M343" i="37"/>
  <c r="N343" i="37"/>
  <c r="O343" i="37"/>
  <c r="D343" i="37"/>
  <c r="D342" i="37"/>
  <c r="D340" i="37"/>
  <c r="D344" i="37" l="1"/>
  <c r="D346" i="37" s="1"/>
  <c r="N344" i="37"/>
  <c r="N346" i="37" s="1"/>
  <c r="J344" i="37"/>
  <c r="J346" i="37" s="1"/>
  <c r="F344" i="37"/>
  <c r="F346" i="37" s="1"/>
  <c r="M344" i="37"/>
  <c r="M346" i="37" s="1"/>
  <c r="I344" i="37"/>
  <c r="I346" i="37" s="1"/>
  <c r="E344" i="37"/>
  <c r="E346" i="37" s="1"/>
  <c r="L344" i="37"/>
  <c r="L346" i="37" s="1"/>
  <c r="H344" i="37"/>
  <c r="H346" i="37" s="1"/>
  <c r="K344" i="37"/>
  <c r="K346" i="37" s="1"/>
  <c r="G344" i="37"/>
  <c r="G346" i="37" s="1"/>
  <c r="O346" i="37" l="1"/>
  <c r="O11" i="37" l="1"/>
  <c r="O12" i="37"/>
  <c r="O13" i="37"/>
  <c r="O15" i="37"/>
  <c r="O16" i="37"/>
  <c r="O18" i="37"/>
  <c r="O20" i="37"/>
  <c r="O21" i="37"/>
  <c r="O22" i="37"/>
  <c r="O23" i="37"/>
  <c r="O24" i="37"/>
  <c r="O25" i="37"/>
  <c r="O26" i="37"/>
  <c r="O27" i="37"/>
  <c r="O28" i="37"/>
  <c r="O29" i="37"/>
  <c r="O30" i="37"/>
  <c r="O31" i="37"/>
  <c r="O32" i="37"/>
  <c r="O33" i="37"/>
  <c r="O34" i="37"/>
  <c r="O10" i="37"/>
  <c r="D35" i="37"/>
  <c r="E35" i="37"/>
  <c r="F35" i="37"/>
  <c r="G35" i="37"/>
  <c r="H35" i="37"/>
  <c r="I35" i="37"/>
  <c r="J35" i="37"/>
  <c r="K35" i="37"/>
  <c r="L35" i="37"/>
  <c r="M35" i="37"/>
  <c r="N35" i="37"/>
  <c r="C35" i="37"/>
  <c r="AL38" i="9" l="1"/>
  <c r="P11" i="37" l="1"/>
  <c r="P12" i="37"/>
  <c r="P13" i="37"/>
  <c r="P15" i="37"/>
  <c r="P16" i="37"/>
  <c r="P18" i="37"/>
  <c r="P20" i="37"/>
  <c r="P21" i="37"/>
  <c r="P22" i="37"/>
  <c r="P23" i="37"/>
  <c r="P24" i="37"/>
  <c r="P25" i="37"/>
  <c r="P26" i="37"/>
  <c r="P27" i="37"/>
  <c r="P10" i="37"/>
  <c r="P35" i="37" l="1"/>
  <c r="Q46" i="6"/>
  <c r="K63" i="14" l="1"/>
  <c r="D111" i="20" l="1"/>
  <c r="A2" i="10" l="1"/>
  <c r="D67" i="5" l="1"/>
  <c r="E67" i="5" s="1"/>
  <c r="G32" i="7" l="1"/>
  <c r="P28" i="6" l="1"/>
  <c r="P29" i="6"/>
  <c r="P31" i="6"/>
  <c r="P32" i="6"/>
  <c r="C36" i="5" s="1"/>
  <c r="D36" i="5" s="1"/>
  <c r="B93" i="5" s="1"/>
  <c r="P33" i="6"/>
  <c r="P27" i="6"/>
  <c r="F34"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K134" i="1" l="1"/>
  <c r="D13" i="27"/>
  <c r="E13" i="27"/>
  <c r="F13" i="27"/>
  <c r="G13" i="27"/>
  <c r="H13" i="27"/>
  <c r="I13" i="27"/>
  <c r="J13" i="27"/>
  <c r="K13" i="27"/>
  <c r="L13" i="27"/>
  <c r="M13" i="27"/>
  <c r="D31" i="27"/>
  <c r="E31" i="27"/>
  <c r="F31" i="27"/>
  <c r="G31" i="27"/>
  <c r="H31" i="27"/>
  <c r="I31" i="27"/>
  <c r="J31" i="27"/>
  <c r="K31" i="27"/>
  <c r="L31" i="27"/>
  <c r="M31" i="27"/>
  <c r="N31" i="27"/>
  <c r="D84" i="27"/>
  <c r="E84" i="27"/>
  <c r="F84" i="27"/>
  <c r="G84" i="27"/>
  <c r="H84" i="27"/>
  <c r="I84" i="27"/>
  <c r="J84" i="27"/>
  <c r="K84" i="27"/>
  <c r="L84" i="27"/>
  <c r="M84" i="27"/>
  <c r="N84" i="27"/>
  <c r="D138" i="27"/>
  <c r="E138" i="27"/>
  <c r="F138" i="27"/>
  <c r="G138" i="27"/>
  <c r="H138" i="27"/>
  <c r="I138" i="27"/>
  <c r="J138" i="27"/>
  <c r="K138" i="27"/>
  <c r="L138" i="27"/>
  <c r="M138" i="27"/>
  <c r="N138" i="27"/>
  <c r="C138" i="27"/>
  <c r="C84" i="27"/>
  <c r="C13" i="27"/>
  <c r="D39" i="37"/>
  <c r="D11" i="27" s="1"/>
  <c r="E39" i="37"/>
  <c r="E11" i="27" s="1"/>
  <c r="F39" i="37"/>
  <c r="F11" i="27" s="1"/>
  <c r="G39" i="37"/>
  <c r="G11" i="27" s="1"/>
  <c r="H39" i="37"/>
  <c r="H11" i="27" s="1"/>
  <c r="I39" i="37"/>
  <c r="I11" i="27" s="1"/>
  <c r="J39" i="37"/>
  <c r="J11" i="27" s="1"/>
  <c r="K39" i="37"/>
  <c r="K11" i="27" s="1"/>
  <c r="L39" i="37"/>
  <c r="L11" i="27" s="1"/>
  <c r="M39" i="37"/>
  <c r="M11" i="27" s="1"/>
  <c r="N39" i="37"/>
  <c r="N11" i="27" s="1"/>
  <c r="D40" i="37"/>
  <c r="E40" i="37"/>
  <c r="F40" i="37"/>
  <c r="G40" i="37"/>
  <c r="H40" i="37"/>
  <c r="I40" i="37"/>
  <c r="J40" i="37"/>
  <c r="K40" i="37"/>
  <c r="L40" i="37"/>
  <c r="M40" i="37"/>
  <c r="N40" i="37"/>
  <c r="D42" i="37"/>
  <c r="E42" i="37"/>
  <c r="F42" i="37"/>
  <c r="G42" i="37"/>
  <c r="H42" i="37"/>
  <c r="I42" i="37"/>
  <c r="J42" i="37"/>
  <c r="K42" i="37"/>
  <c r="L42" i="37"/>
  <c r="M42" i="37"/>
  <c r="N42" i="37"/>
  <c r="D44" i="37"/>
  <c r="E44" i="37"/>
  <c r="F44" i="37"/>
  <c r="G44" i="37"/>
  <c r="H44" i="37"/>
  <c r="I44" i="37"/>
  <c r="J44" i="37"/>
  <c r="K44" i="37"/>
  <c r="L44" i="37"/>
  <c r="M44" i="37"/>
  <c r="N44" i="37"/>
  <c r="D46" i="37"/>
  <c r="E46" i="37"/>
  <c r="F46" i="37"/>
  <c r="G46" i="37"/>
  <c r="H46" i="37"/>
  <c r="I46" i="37"/>
  <c r="J46" i="37"/>
  <c r="K46" i="37"/>
  <c r="L46" i="37"/>
  <c r="M46" i="37"/>
  <c r="N46" i="37"/>
  <c r="D47" i="37"/>
  <c r="E47" i="37"/>
  <c r="F47" i="37"/>
  <c r="G47" i="37"/>
  <c r="H47" i="37"/>
  <c r="I47" i="37"/>
  <c r="J47" i="37"/>
  <c r="K47" i="37"/>
  <c r="L47" i="37"/>
  <c r="M47" i="37"/>
  <c r="N47" i="37"/>
  <c r="C47" i="37"/>
  <c r="C46" i="37"/>
  <c r="C42" i="37"/>
  <c r="C40" i="37"/>
  <c r="O42" i="37" l="1"/>
  <c r="O44" i="37"/>
  <c r="C11" i="27"/>
  <c r="C48" i="37"/>
  <c r="C50" i="37" s="1"/>
  <c r="D48" i="37"/>
  <c r="D50" i="37" s="1"/>
  <c r="N13" i="27"/>
  <c r="D134" i="1"/>
  <c r="D142" i="1" s="1"/>
  <c r="P46" i="37"/>
  <c r="F66" i="5" s="1"/>
  <c r="P47" i="37"/>
  <c r="L48" i="37"/>
  <c r="L50" i="37" s="1"/>
  <c r="H48" i="37"/>
  <c r="H50" i="37" s="1"/>
  <c r="P42" i="37"/>
  <c r="J48" i="37"/>
  <c r="J50" i="37" s="1"/>
  <c r="F48" i="37"/>
  <c r="F50" i="37" s="1"/>
  <c r="N48" i="37"/>
  <c r="N50" i="37" s="1"/>
  <c r="M48" i="37"/>
  <c r="M50" i="37" s="1"/>
  <c r="I48" i="37"/>
  <c r="I50" i="37" s="1"/>
  <c r="E48" i="37"/>
  <c r="E50" i="37" s="1"/>
  <c r="P40" i="37"/>
  <c r="K48" i="37"/>
  <c r="K50" i="37" s="1"/>
  <c r="G48" i="37"/>
  <c r="G50" i="37" s="1"/>
  <c r="P39" i="37"/>
  <c r="P44" i="37"/>
  <c r="B106" i="5" s="1"/>
  <c r="O39" i="37"/>
  <c r="O46" i="37"/>
  <c r="O40" i="37"/>
  <c r="O47" i="37"/>
  <c r="L12" i="1" l="1"/>
  <c r="L35" i="1" s="1"/>
  <c r="P48" i="37"/>
  <c r="O48" i="37"/>
  <c r="B104" i="5" l="1"/>
  <c r="B109" i="5" s="1"/>
  <c r="P50" i="37"/>
  <c r="G9" i="10"/>
  <c r="G75" i="9" l="1"/>
  <c r="G63" i="9" l="1"/>
  <c r="P128" i="6" l="1"/>
  <c r="P45" i="6" l="1"/>
  <c r="P46" i="6"/>
  <c r="P47" i="6"/>
  <c r="P48" i="6"/>
  <c r="P49" i="6"/>
  <c r="P50" i="6"/>
  <c r="P51" i="6"/>
  <c r="P52" i="6"/>
  <c r="P53" i="6"/>
  <c r="P54" i="6"/>
  <c r="P55" i="6"/>
  <c r="P56" i="6"/>
  <c r="P57" i="6"/>
  <c r="P58" i="6"/>
  <c r="P59" i="6"/>
  <c r="P60" i="6"/>
  <c r="P61" i="6"/>
  <c r="P62" i="6"/>
  <c r="P63" i="6"/>
  <c r="P66" i="6" l="1"/>
  <c r="D12" i="14"/>
  <c r="G61" i="9" l="1"/>
  <c r="G59" i="9"/>
  <c r="G56" i="9"/>
  <c r="G53" i="9"/>
  <c r="G50" i="9"/>
  <c r="G47" i="9"/>
  <c r="G44" i="9"/>
  <c r="G41" i="9"/>
  <c r="G37" i="9"/>
  <c r="G35" i="9"/>
  <c r="G31" i="9"/>
  <c r="G28" i="9"/>
  <c r="G26" i="9"/>
  <c r="G23" i="9" l="1"/>
  <c r="G20" i="9"/>
  <c r="G17" i="9"/>
  <c r="G15" i="9"/>
  <c r="G69" i="9" l="1"/>
  <c r="G60" i="9" l="1"/>
  <c r="AL103" i="9"/>
  <c r="AL104" i="9"/>
  <c r="AL102" i="9"/>
  <c r="G32" i="9"/>
  <c r="G24" i="9"/>
  <c r="G21" i="9"/>
  <c r="AL61" i="9" l="1"/>
  <c r="AL37" i="9"/>
  <c r="AL34" i="9"/>
  <c r="AL89" i="9"/>
  <c r="AL91" i="9"/>
  <c r="AL94" i="9"/>
  <c r="C12" i="27"/>
  <c r="F111" i="20" l="1"/>
  <c r="H111" i="20" s="1"/>
  <c r="BE96" i="9" l="1"/>
  <c r="BE94" i="9" l="1"/>
  <c r="BE121" i="9"/>
  <c r="BE76" i="9"/>
  <c r="BE78" i="9"/>
  <c r="BE122" i="9"/>
  <c r="BE51" i="9"/>
  <c r="BE127" i="9"/>
  <c r="BE31" i="9"/>
  <c r="BE77" i="9"/>
  <c r="BE70" i="9"/>
  <c r="BE73" i="9"/>
  <c r="BE64" i="9"/>
  <c r="BG64" i="9" s="1"/>
  <c r="BE67" i="9"/>
  <c r="BG67" i="9" s="1"/>
  <c r="BE48" i="9"/>
  <c r="BE125" i="9"/>
  <c r="BE40" i="9"/>
  <c r="BE45" i="9"/>
  <c r="BE123" i="9"/>
  <c r="BE37" i="9"/>
  <c r="D39" i="7" l="1"/>
  <c r="G37" i="7" l="1"/>
  <c r="G38" i="7"/>
  <c r="J50" i="10" l="1"/>
  <c r="F39" i="7" l="1"/>
  <c r="G36" i="7"/>
  <c r="G35" i="7"/>
  <c r="G33" i="7"/>
  <c r="G34" i="7"/>
  <c r="C39" i="7" l="1"/>
  <c r="G39" i="7" s="1"/>
  <c r="G62" i="9" l="1"/>
  <c r="G57" i="9"/>
  <c r="G54" i="9"/>
  <c r="G51" i="9"/>
  <c r="G48" i="9"/>
  <c r="G45" i="9"/>
  <c r="G34" i="9"/>
  <c r="G29" i="9"/>
  <c r="G18" i="9"/>
  <c r="P156" i="6" l="1"/>
  <c r="F157" i="6"/>
  <c r="G157" i="6"/>
  <c r="H157" i="6"/>
  <c r="I157" i="6"/>
  <c r="J157" i="6"/>
  <c r="K157" i="6"/>
  <c r="L157" i="6"/>
  <c r="M157" i="6"/>
  <c r="N157" i="6"/>
  <c r="O157" i="6"/>
  <c r="E157" i="6"/>
  <c r="D157" i="6"/>
  <c r="F169" i="6"/>
  <c r="J178" i="6" l="1"/>
  <c r="J179" i="6"/>
  <c r="L178" i="6"/>
  <c r="L179" i="6"/>
  <c r="D179" i="6"/>
  <c r="D178" i="6"/>
  <c r="D177" i="6"/>
  <c r="O179" i="6"/>
  <c r="O178" i="6"/>
  <c r="I178" i="6"/>
  <c r="I179" i="6"/>
  <c r="E178" i="6"/>
  <c r="E179" i="6"/>
  <c r="H178" i="6"/>
  <c r="H179" i="6"/>
  <c r="G178" i="6"/>
  <c r="G179" i="6"/>
  <c r="N179" i="6"/>
  <c r="N178" i="6"/>
  <c r="F179" i="6"/>
  <c r="F178" i="6"/>
  <c r="K178" i="6"/>
  <c r="K179" i="6"/>
  <c r="M179" i="6"/>
  <c r="M178" i="6"/>
  <c r="H171" i="6"/>
  <c r="P157" i="6"/>
  <c r="J40" i="10"/>
  <c r="J39" i="10"/>
  <c r="J38" i="10"/>
  <c r="J37" i="10"/>
  <c r="J36" i="10"/>
  <c r="J34" i="10"/>
  <c r="J33" i="10"/>
  <c r="J32" i="10"/>
  <c r="J30" i="10"/>
  <c r="J29" i="10"/>
  <c r="P178" i="6" l="1"/>
  <c r="P179" i="6"/>
  <c r="G38" i="9"/>
  <c r="BE146" i="9" l="1"/>
  <c r="BE145" i="9"/>
  <c r="BE36" i="9"/>
  <c r="BE39" i="9"/>
  <c r="BE42" i="9"/>
  <c r="BE44" i="9"/>
  <c r="BE47" i="9"/>
  <c r="BE142" i="9"/>
  <c r="BE50" i="9"/>
  <c r="BE53" i="9"/>
  <c r="BE55" i="9"/>
  <c r="BE144" i="9"/>
  <c r="BE124" i="9"/>
  <c r="BE63" i="9"/>
  <c r="BG63" i="9" s="1"/>
  <c r="BE66" i="9"/>
  <c r="BG66" i="9" s="1"/>
  <c r="BE69" i="9"/>
  <c r="BE72" i="9"/>
  <c r="BE75" i="9"/>
  <c r="BE116" i="9"/>
  <c r="BE99" i="9"/>
  <c r="BE87" i="9"/>
  <c r="BE83" i="9"/>
  <c r="BE153" i="9"/>
  <c r="BE71" i="9"/>
  <c r="BE59" i="9"/>
  <c r="BE57" i="9"/>
  <c r="BE52" i="9"/>
  <c r="BE43" i="9"/>
  <c r="BE32" i="9"/>
  <c r="BE152" i="9"/>
  <c r="BE100" i="9"/>
  <c r="BE93" i="9"/>
  <c r="BE88" i="9"/>
  <c r="BE84" i="9"/>
  <c r="BE80" i="9"/>
  <c r="BE118" i="9"/>
  <c r="BE62" i="9"/>
  <c r="BG62" i="9" s="1"/>
  <c r="BE114" i="9"/>
  <c r="BE130" i="9"/>
  <c r="BE46" i="9"/>
  <c r="BE35" i="9"/>
  <c r="BE28" i="9"/>
  <c r="BE120" i="9"/>
  <c r="BE85" i="9"/>
  <c r="BE82" i="9"/>
  <c r="BE74" i="9"/>
  <c r="BE65" i="9"/>
  <c r="BG65" i="9" s="1"/>
  <c r="BE58" i="9"/>
  <c r="BE54" i="9"/>
  <c r="BE49" i="9"/>
  <c r="BE38" i="9"/>
  <c r="BE29" i="9"/>
  <c r="BE26" i="9"/>
  <c r="BE98" i="9"/>
  <c r="BE126" i="9"/>
  <c r="BE86" i="9"/>
  <c r="BE119" i="9"/>
  <c r="BE68" i="9"/>
  <c r="BE117" i="9"/>
  <c r="BE115" i="9"/>
  <c r="BE41" i="9"/>
  <c r="BE30" i="9"/>
  <c r="BE27" i="9"/>
  <c r="E158" i="6"/>
  <c r="F158" i="6"/>
  <c r="G158" i="6"/>
  <c r="H158" i="6"/>
  <c r="I158" i="6"/>
  <c r="J158" i="6"/>
  <c r="K158" i="6"/>
  <c r="L158" i="6"/>
  <c r="M158" i="6"/>
  <c r="N158" i="6"/>
  <c r="O158" i="6"/>
  <c r="D158" i="6"/>
  <c r="D159" i="6"/>
  <c r="O168" i="6" l="1"/>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H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O165" i="6"/>
  <c r="E166" i="6"/>
  <c r="F166" i="6"/>
  <c r="G166" i="6"/>
  <c r="H166" i="6"/>
  <c r="I166" i="6"/>
  <c r="J166" i="6"/>
  <c r="K166" i="6"/>
  <c r="L166" i="6"/>
  <c r="M166" i="6"/>
  <c r="N166" i="6"/>
  <c r="O166" i="6"/>
  <c r="E167" i="6"/>
  <c r="F167" i="6"/>
  <c r="G167" i="6"/>
  <c r="H167" i="6"/>
  <c r="I167" i="6"/>
  <c r="J167" i="6"/>
  <c r="K167" i="6"/>
  <c r="L167" i="6"/>
  <c r="M167" i="6"/>
  <c r="N167" i="6"/>
  <c r="O167" i="6"/>
  <c r="E168" i="6"/>
  <c r="F168" i="6"/>
  <c r="G168" i="6"/>
  <c r="H168" i="6"/>
  <c r="I168" i="6"/>
  <c r="J168" i="6"/>
  <c r="K168" i="6"/>
  <c r="L168" i="6"/>
  <c r="M168" i="6"/>
  <c r="N168" i="6"/>
  <c r="E169" i="6"/>
  <c r="G169" i="6"/>
  <c r="H169" i="6"/>
  <c r="I169" i="6"/>
  <c r="J169" i="6"/>
  <c r="K169" i="6"/>
  <c r="L169" i="6"/>
  <c r="M169" i="6"/>
  <c r="N169" i="6"/>
  <c r="O169" i="6"/>
  <c r="E170" i="6"/>
  <c r="F170" i="6"/>
  <c r="G170" i="6"/>
  <c r="H170" i="6"/>
  <c r="I170" i="6"/>
  <c r="J170" i="6"/>
  <c r="K170" i="6"/>
  <c r="L170" i="6"/>
  <c r="M170" i="6"/>
  <c r="N170" i="6"/>
  <c r="O170" i="6"/>
  <c r="E171" i="6"/>
  <c r="F171" i="6"/>
  <c r="G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E176" i="6"/>
  <c r="F176" i="6"/>
  <c r="G176" i="6"/>
  <c r="H176" i="6"/>
  <c r="I176" i="6"/>
  <c r="J176" i="6"/>
  <c r="K176" i="6"/>
  <c r="L176" i="6"/>
  <c r="M176" i="6"/>
  <c r="N176" i="6"/>
  <c r="O176" i="6"/>
  <c r="E177" i="6"/>
  <c r="F177" i="6"/>
  <c r="G177" i="6"/>
  <c r="H177" i="6"/>
  <c r="I177" i="6"/>
  <c r="J177" i="6"/>
  <c r="K177" i="6"/>
  <c r="L177" i="6"/>
  <c r="M177" i="6"/>
  <c r="N177" i="6"/>
  <c r="O177" i="6"/>
  <c r="D160" i="6"/>
  <c r="D161" i="6"/>
  <c r="D162" i="6"/>
  <c r="D163" i="6"/>
  <c r="D164" i="6"/>
  <c r="D165" i="6"/>
  <c r="D166" i="6"/>
  <c r="D167" i="6"/>
  <c r="D168" i="6"/>
  <c r="D169" i="6"/>
  <c r="D170" i="6"/>
  <c r="D171" i="6"/>
  <c r="D172" i="6"/>
  <c r="D173" i="6"/>
  <c r="D174" i="6"/>
  <c r="D175" i="6"/>
  <c r="D176" i="6"/>
  <c r="P175" i="6" l="1"/>
  <c r="P168" i="6"/>
  <c r="P165" i="6"/>
  <c r="P161" i="6"/>
  <c r="P172" i="6"/>
  <c r="P166" i="6"/>
  <c r="P177" i="6"/>
  <c r="P173" i="6"/>
  <c r="P170" i="6"/>
  <c r="P163" i="6"/>
  <c r="P176" i="6"/>
  <c r="P169" i="6"/>
  <c r="P162" i="6"/>
  <c r="P159" i="6"/>
  <c r="P174" i="6"/>
  <c r="P171" i="6"/>
  <c r="P167" i="6"/>
  <c r="P164" i="6"/>
  <c r="P160" i="6"/>
  <c r="P15" i="20" l="1"/>
  <c r="P35" i="20" s="1"/>
  <c r="P36" i="20" s="1"/>
  <c r="P66" i="20" l="1"/>
  <c r="P67" i="20" s="1"/>
  <c r="P82" i="20"/>
  <c r="P84" i="20" s="1"/>
  <c r="P16" i="20"/>
  <c r="P17" i="20"/>
  <c r="P110" i="20"/>
  <c r="P112" i="20" s="1"/>
  <c r="P83" i="20" l="1"/>
  <c r="O15" i="20" l="1"/>
  <c r="O82" i="20" l="1"/>
  <c r="O110" i="20"/>
  <c r="O35" i="20"/>
  <c r="O66" i="20"/>
  <c r="G134" i="9" l="1"/>
  <c r="G135" i="9"/>
  <c r="G83" i="9"/>
  <c r="F79" i="18" l="1"/>
  <c r="P123" i="6" l="1"/>
  <c r="P122" i="6"/>
  <c r="P121" i="6"/>
  <c r="M34" i="6"/>
  <c r="N34" i="6"/>
  <c r="O34" i="6"/>
  <c r="E34" i="6"/>
  <c r="H34" i="6"/>
  <c r="I34" i="6"/>
  <c r="J34" i="6"/>
  <c r="L34" i="6"/>
  <c r="K34" i="6"/>
  <c r="P34" i="6" l="1"/>
  <c r="R99" i="27"/>
  <c r="R83" i="27"/>
  <c r="R46" i="27"/>
  <c r="R30" i="27"/>
  <c r="M46" i="27"/>
  <c r="M99" i="27"/>
  <c r="R10" i="27"/>
  <c r="R137" i="27"/>
  <c r="C10" i="27"/>
  <c r="C14" i="27" s="1"/>
  <c r="D12" i="27"/>
  <c r="E12" i="27"/>
  <c r="F12" i="27"/>
  <c r="G12" i="27"/>
  <c r="H12" i="27"/>
  <c r="I12" i="27"/>
  <c r="J12" i="27"/>
  <c r="K12" i="27"/>
  <c r="L12" i="27"/>
  <c r="M12" i="27"/>
  <c r="N12" i="27"/>
  <c r="N155" i="27"/>
  <c r="M155" i="27"/>
  <c r="L155" i="27"/>
  <c r="K155" i="27"/>
  <c r="J155" i="27"/>
  <c r="I155" i="27"/>
  <c r="H155" i="27"/>
  <c r="G155" i="27"/>
  <c r="F155" i="27"/>
  <c r="E155" i="27"/>
  <c r="D155" i="27"/>
  <c r="C155" i="27"/>
  <c r="O153" i="27"/>
  <c r="O138" i="27"/>
  <c r="E69" i="5" s="1"/>
  <c r="N137" i="27"/>
  <c r="N139" i="27" s="1"/>
  <c r="L137" i="27"/>
  <c r="L139" i="27" s="1"/>
  <c r="L141" i="27" s="1"/>
  <c r="L146" i="27" s="1"/>
  <c r="K137" i="27"/>
  <c r="K139" i="27" s="1"/>
  <c r="J137" i="27"/>
  <c r="J139" i="27" s="1"/>
  <c r="I137" i="27"/>
  <c r="I139" i="27" s="1"/>
  <c r="H137" i="27"/>
  <c r="H139" i="27" s="1"/>
  <c r="G137" i="27"/>
  <c r="G139" i="27" s="1"/>
  <c r="F137" i="27"/>
  <c r="F139" i="27" s="1"/>
  <c r="E137" i="27"/>
  <c r="E139" i="27" s="1"/>
  <c r="D137" i="27"/>
  <c r="D139" i="27" s="1"/>
  <c r="C137" i="27"/>
  <c r="N104" i="27"/>
  <c r="M104" i="27"/>
  <c r="L104" i="27"/>
  <c r="K104" i="27"/>
  <c r="J104" i="27"/>
  <c r="I104" i="27"/>
  <c r="H104" i="27"/>
  <c r="G104" i="27"/>
  <c r="F104" i="27"/>
  <c r="E104" i="27"/>
  <c r="D104" i="27"/>
  <c r="C104" i="27"/>
  <c r="O102" i="27"/>
  <c r="N99" i="27"/>
  <c r="L99" i="27"/>
  <c r="K99" i="27"/>
  <c r="J99" i="27"/>
  <c r="I99" i="27"/>
  <c r="H99" i="27"/>
  <c r="G99" i="27"/>
  <c r="F99" i="27"/>
  <c r="E99" i="27"/>
  <c r="D99" i="27"/>
  <c r="C99" i="27"/>
  <c r="O97" i="27"/>
  <c r="O84" i="27"/>
  <c r="D39" i="5" s="1"/>
  <c r="N83" i="27"/>
  <c r="L83" i="27"/>
  <c r="K83" i="27"/>
  <c r="J83" i="27"/>
  <c r="I83" i="27"/>
  <c r="H83" i="27"/>
  <c r="G83" i="27"/>
  <c r="D83" i="27"/>
  <c r="C83" i="27"/>
  <c r="F83"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N30" i="27"/>
  <c r="L30" i="27"/>
  <c r="K30" i="27"/>
  <c r="J30" i="27"/>
  <c r="I30" i="27"/>
  <c r="H30" i="27"/>
  <c r="G30" i="27"/>
  <c r="F30" i="27"/>
  <c r="E30" i="27"/>
  <c r="D30" i="27"/>
  <c r="C30" i="27"/>
  <c r="O11" i="27"/>
  <c r="N10" i="27"/>
  <c r="L10" i="27"/>
  <c r="K10" i="27"/>
  <c r="J10" i="27"/>
  <c r="I10" i="27"/>
  <c r="H10" i="27"/>
  <c r="G10" i="27"/>
  <c r="F10" i="27"/>
  <c r="E10" i="27"/>
  <c r="D10" i="27"/>
  <c r="S136" i="27" l="1"/>
  <c r="O136" i="27" s="1"/>
  <c r="S134" i="27"/>
  <c r="S28" i="27"/>
  <c r="S55" i="27"/>
  <c r="S54" i="27"/>
  <c r="S57" i="27" s="1"/>
  <c r="S82" i="27"/>
  <c r="S110" i="27"/>
  <c r="S108" i="27"/>
  <c r="G85" i="27"/>
  <c r="G88" i="27" s="1"/>
  <c r="H85" i="27"/>
  <c r="H87" i="27" s="1"/>
  <c r="H119" i="27"/>
  <c r="I85" i="27"/>
  <c r="I119" i="27"/>
  <c r="J85" i="27"/>
  <c r="J119" i="27" s="1"/>
  <c r="K85" i="27"/>
  <c r="K87" i="27" s="1"/>
  <c r="L85" i="27"/>
  <c r="L87" i="27" s="1"/>
  <c r="L91" i="27" s="1"/>
  <c r="L119" i="27"/>
  <c r="N85" i="27"/>
  <c r="D85" i="27"/>
  <c r="S8" i="27"/>
  <c r="S7" i="27"/>
  <c r="C16" i="27"/>
  <c r="E15" i="5"/>
  <c r="E35" i="5"/>
  <c r="S9" i="27"/>
  <c r="S81" i="27"/>
  <c r="S83" i="27" s="1"/>
  <c r="D142" i="27"/>
  <c r="D147" i="27" s="1"/>
  <c r="D141" i="27"/>
  <c r="D143" i="27"/>
  <c r="D148" i="27" s="1"/>
  <c r="G142" i="27"/>
  <c r="G147" i="27" s="1"/>
  <c r="G141" i="27"/>
  <c r="G143" i="27"/>
  <c r="G148" i="27" s="1"/>
  <c r="F142" i="27"/>
  <c r="F147" i="27" s="1"/>
  <c r="F143" i="27"/>
  <c r="F148" i="27" s="1"/>
  <c r="F141" i="27"/>
  <c r="J142" i="27"/>
  <c r="J147" i="27" s="1"/>
  <c r="J141" i="27"/>
  <c r="J143" i="27"/>
  <c r="J148" i="27" s="1"/>
  <c r="L143" i="27"/>
  <c r="L148" i="27" s="1"/>
  <c r="L142" i="27"/>
  <c r="L147" i="27" s="1"/>
  <c r="K141" i="27"/>
  <c r="K143" i="27"/>
  <c r="K148" i="27" s="1"/>
  <c r="K142" i="27"/>
  <c r="K147" i="27" s="1"/>
  <c r="E143" i="27"/>
  <c r="E148" i="27" s="1"/>
  <c r="E142" i="27"/>
  <c r="E147" i="27" s="1"/>
  <c r="E141" i="27"/>
  <c r="I141" i="27"/>
  <c r="I142" i="27"/>
  <c r="I147" i="27" s="1"/>
  <c r="I143" i="27"/>
  <c r="I148" i="27" s="1"/>
  <c r="N143" i="27"/>
  <c r="N148" i="27" s="1"/>
  <c r="N142" i="27"/>
  <c r="N147" i="27" s="1"/>
  <c r="N141" i="27"/>
  <c r="H141" i="27"/>
  <c r="H143" i="27"/>
  <c r="H148" i="27" s="1"/>
  <c r="H142" i="27"/>
  <c r="H147" i="27" s="1"/>
  <c r="O134" i="27"/>
  <c r="S29" i="27"/>
  <c r="S30" i="27" s="1"/>
  <c r="O82" i="27"/>
  <c r="E27" i="5" s="1"/>
  <c r="F27" i="1" s="1"/>
  <c r="D88" i="27"/>
  <c r="O44" i="27"/>
  <c r="O46" i="27" s="1"/>
  <c r="E14" i="27"/>
  <c r="E17" i="27" s="1"/>
  <c r="E22" i="27" s="1"/>
  <c r="I14" i="27"/>
  <c r="I18" i="27" s="1"/>
  <c r="I23" i="27" s="1"/>
  <c r="S135" i="27"/>
  <c r="O135" i="27" s="1"/>
  <c r="O104" i="27"/>
  <c r="G35" i="5"/>
  <c r="O51" i="27"/>
  <c r="P51" i="27" s="1"/>
  <c r="G15" i="5"/>
  <c r="O155" i="27"/>
  <c r="P155" i="27" s="1"/>
  <c r="G66" i="5"/>
  <c r="H14" i="27"/>
  <c r="L14" i="27"/>
  <c r="D14" i="27"/>
  <c r="N14" i="27"/>
  <c r="F14" i="27"/>
  <c r="J14" i="27"/>
  <c r="K14" i="27"/>
  <c r="O31" i="27"/>
  <c r="D18" i="5" s="1"/>
  <c r="G14" i="27"/>
  <c r="O28" i="27"/>
  <c r="O13" i="27"/>
  <c r="E10" i="5" s="1"/>
  <c r="O99"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85" i="27"/>
  <c r="F119" i="27" s="1"/>
  <c r="C32" i="27"/>
  <c r="C35" i="27" s="1"/>
  <c r="C39" i="27" s="1"/>
  <c r="E83" i="27"/>
  <c r="C85" i="27"/>
  <c r="C139" i="27"/>
  <c r="C34" i="27" l="1"/>
  <c r="K88" i="27"/>
  <c r="K92" i="27" s="1"/>
  <c r="G87" i="27"/>
  <c r="G91" i="27" s="1"/>
  <c r="J88" i="27"/>
  <c r="J92" i="27" s="1"/>
  <c r="J87" i="27"/>
  <c r="J91" i="27" s="1"/>
  <c r="J93" i="27" s="1"/>
  <c r="J94" i="27" s="1"/>
  <c r="H88" i="27"/>
  <c r="H92" i="27" s="1"/>
  <c r="N87" i="27"/>
  <c r="N91" i="27" s="1"/>
  <c r="G119" i="27"/>
  <c r="D119" i="27"/>
  <c r="D87" i="27"/>
  <c r="D91" i="27" s="1"/>
  <c r="I88" i="27"/>
  <c r="I92" i="27" s="1"/>
  <c r="L116" i="27"/>
  <c r="L88" i="27"/>
  <c r="L89" i="27" s="1"/>
  <c r="N88" i="27"/>
  <c r="N92" i="27" s="1"/>
  <c r="I87" i="27"/>
  <c r="I91" i="27" s="1"/>
  <c r="N119" i="27"/>
  <c r="F118" i="27"/>
  <c r="F120" i="27" s="1"/>
  <c r="F121" i="27" s="1"/>
  <c r="C116" i="27"/>
  <c r="I116" i="27"/>
  <c r="I118" i="27"/>
  <c r="I120" i="27" s="1"/>
  <c r="I121" i="27" s="1"/>
  <c r="N116" i="27"/>
  <c r="N118" i="27"/>
  <c r="K119" i="27"/>
  <c r="J116" i="27"/>
  <c r="J118" i="27"/>
  <c r="J120" i="27" s="1"/>
  <c r="J121" i="27" s="1"/>
  <c r="H116" i="27"/>
  <c r="H118" i="27"/>
  <c r="H120" i="27" s="1"/>
  <c r="H121" i="27" s="1"/>
  <c r="D118" i="27"/>
  <c r="G116" i="27"/>
  <c r="G118" i="27"/>
  <c r="E85" i="27"/>
  <c r="E119" i="27" s="1"/>
  <c r="N66" i="27"/>
  <c r="K66" i="27"/>
  <c r="I66" i="27"/>
  <c r="P104" i="27"/>
  <c r="H66" i="27"/>
  <c r="D66" i="27"/>
  <c r="G66" i="27"/>
  <c r="J66" i="27"/>
  <c r="F66" i="27"/>
  <c r="E66" i="27"/>
  <c r="L66" i="27"/>
  <c r="S10" i="27"/>
  <c r="I17" i="27"/>
  <c r="I22" i="27" s="1"/>
  <c r="I16" i="27"/>
  <c r="C17" i="27"/>
  <c r="C18" i="27"/>
  <c r="C23" i="27" s="1"/>
  <c r="H146" i="27"/>
  <c r="H149" i="27" s="1"/>
  <c r="H150" i="27" s="1"/>
  <c r="H144" i="27"/>
  <c r="E146" i="27"/>
  <c r="E149" i="27" s="1"/>
  <c r="E150" i="27" s="1"/>
  <c r="E144" i="27"/>
  <c r="L149" i="27"/>
  <c r="L150" i="27" s="1"/>
  <c r="L144" i="27"/>
  <c r="F144" i="27"/>
  <c r="F146" i="27"/>
  <c r="F149" i="27" s="1"/>
  <c r="F150" i="27" s="1"/>
  <c r="G144" i="27"/>
  <c r="G146" i="27"/>
  <c r="G149" i="27" s="1"/>
  <c r="G150" i="27" s="1"/>
  <c r="N146" i="27"/>
  <c r="N149" i="27" s="1"/>
  <c r="N150" i="27" s="1"/>
  <c r="N144" i="27"/>
  <c r="K144" i="27"/>
  <c r="K146" i="27"/>
  <c r="K149" i="27" s="1"/>
  <c r="K150" i="27" s="1"/>
  <c r="C141" i="27"/>
  <c r="C142" i="27"/>
  <c r="C147" i="27" s="1"/>
  <c r="C143" i="27"/>
  <c r="C148" i="27" s="1"/>
  <c r="I146" i="27"/>
  <c r="I149" i="27" s="1"/>
  <c r="I150" i="27" s="1"/>
  <c r="I144" i="27"/>
  <c r="D146" i="27"/>
  <c r="D149" i="27" s="1"/>
  <c r="D150" i="27" s="1"/>
  <c r="D144" i="27"/>
  <c r="J144" i="27"/>
  <c r="J146" i="27"/>
  <c r="J149" i="27" s="1"/>
  <c r="J150" i="27" s="1"/>
  <c r="E18" i="27"/>
  <c r="E23" i="27" s="1"/>
  <c r="E16" i="27"/>
  <c r="E21" i="27" s="1"/>
  <c r="M137" i="27"/>
  <c r="O137" i="27"/>
  <c r="E49" i="5" s="1"/>
  <c r="H27" i="1" s="1"/>
  <c r="F88" i="27"/>
  <c r="F92" i="27" s="1"/>
  <c r="F87" i="27"/>
  <c r="G89" i="27"/>
  <c r="G92" i="27"/>
  <c r="G93" i="27" s="1"/>
  <c r="G94" i="27" s="1"/>
  <c r="D92" i="27"/>
  <c r="H91" i="27"/>
  <c r="K91" i="27"/>
  <c r="K93" i="27" s="1"/>
  <c r="K94" i="27" s="1"/>
  <c r="K89" i="27"/>
  <c r="J89" i="27"/>
  <c r="C87" i="27"/>
  <c r="C88" i="27"/>
  <c r="H38" i="27"/>
  <c r="G38" i="27"/>
  <c r="N38" i="27"/>
  <c r="D38" i="27"/>
  <c r="L34" i="27"/>
  <c r="J34" i="27"/>
  <c r="H35" i="27"/>
  <c r="H39" i="27" s="1"/>
  <c r="E34" i="27"/>
  <c r="G35" i="27"/>
  <c r="G39" i="27" s="1"/>
  <c r="I34" i="27"/>
  <c r="F34" i="27"/>
  <c r="N35" i="27"/>
  <c r="N39" i="27" s="1"/>
  <c r="K34" i="27"/>
  <c r="D35" i="27"/>
  <c r="D39" i="27" s="1"/>
  <c r="S137" i="27"/>
  <c r="M83" i="27"/>
  <c r="O81"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G120" i="27" l="1"/>
  <c r="G121" i="27" s="1"/>
  <c r="D89" i="27"/>
  <c r="I93" i="27"/>
  <c r="I94" i="27" s="1"/>
  <c r="L92" i="27"/>
  <c r="L93" i="27" s="1"/>
  <c r="L94" i="27" s="1"/>
  <c r="H89" i="27"/>
  <c r="H93" i="27"/>
  <c r="H94" i="27" s="1"/>
  <c r="N120" i="27"/>
  <c r="N121" i="27" s="1"/>
  <c r="L118" i="27"/>
  <c r="L120" i="27" s="1"/>
  <c r="L121" i="27" s="1"/>
  <c r="N89" i="27"/>
  <c r="D120" i="27"/>
  <c r="D121" i="27" s="1"/>
  <c r="F116" i="27"/>
  <c r="N93" i="27"/>
  <c r="N94" i="27" s="1"/>
  <c r="D116" i="27"/>
  <c r="I89" i="27"/>
  <c r="C120" i="27"/>
  <c r="C121" i="27" s="1"/>
  <c r="E88" i="27"/>
  <c r="E92" i="27" s="1"/>
  <c r="E87" i="27"/>
  <c r="E116" i="27"/>
  <c r="E118" i="27"/>
  <c r="E120" i="27" s="1"/>
  <c r="E121" i="27" s="1"/>
  <c r="K116" i="27"/>
  <c r="K118" i="27"/>
  <c r="K120" i="27" s="1"/>
  <c r="K121" i="27" s="1"/>
  <c r="K63" i="27"/>
  <c r="I63" i="27"/>
  <c r="I65" i="27"/>
  <c r="I67" i="27" s="1"/>
  <c r="I68" i="27" s="1"/>
  <c r="K65" i="27"/>
  <c r="K67" i="27" s="1"/>
  <c r="K68" i="27" s="1"/>
  <c r="E65" i="27"/>
  <c r="E67" i="27" s="1"/>
  <c r="E68" i="27" s="1"/>
  <c r="E63" i="27"/>
  <c r="D63" i="27"/>
  <c r="D65" i="27"/>
  <c r="D67" i="27" s="1"/>
  <c r="D68" i="27" s="1"/>
  <c r="L63" i="27"/>
  <c r="L65" i="27"/>
  <c r="L67" i="27" s="1"/>
  <c r="L68" i="27" s="1"/>
  <c r="N63" i="27"/>
  <c r="N65" i="27"/>
  <c r="N67" i="27" s="1"/>
  <c r="N68" i="27" s="1"/>
  <c r="G65" i="27"/>
  <c r="G67" i="27" s="1"/>
  <c r="G68" i="27" s="1"/>
  <c r="G63" i="27"/>
  <c r="H63" i="27"/>
  <c r="H65" i="27"/>
  <c r="H67" i="27" s="1"/>
  <c r="H68" i="27" s="1"/>
  <c r="J63" i="27"/>
  <c r="J65" i="27"/>
  <c r="J67" i="27" s="1"/>
  <c r="J68" i="27" s="1"/>
  <c r="C63" i="27"/>
  <c r="F63" i="27"/>
  <c r="F65" i="27"/>
  <c r="F67" i="27" s="1"/>
  <c r="F68" i="27" s="1"/>
  <c r="I19" i="27"/>
  <c r="I21" i="27"/>
  <c r="I24" i="27" s="1"/>
  <c r="I25" i="27" s="1"/>
  <c r="C19" i="27"/>
  <c r="E24" i="27"/>
  <c r="E25" i="27" s="1"/>
  <c r="C22" i="27"/>
  <c r="C24" i="27" s="1"/>
  <c r="C25" i="27" s="1"/>
  <c r="E19" i="27"/>
  <c r="C146" i="27"/>
  <c r="C149" i="27" s="1"/>
  <c r="C150" i="27" s="1"/>
  <c r="C144" i="27"/>
  <c r="M139" i="27"/>
  <c r="O139" i="27" s="1"/>
  <c r="P139" i="27" s="1"/>
  <c r="C89" i="27"/>
  <c r="C91" i="27"/>
  <c r="F91" i="27"/>
  <c r="F93" i="27" s="1"/>
  <c r="F94" i="27" s="1"/>
  <c r="F89" i="27"/>
  <c r="M85" i="27"/>
  <c r="C92" i="27"/>
  <c r="D93" i="27"/>
  <c r="D94" i="27" s="1"/>
  <c r="C36" i="27"/>
  <c r="C38" i="27"/>
  <c r="E36" i="27"/>
  <c r="E38" i="27"/>
  <c r="N36" i="27"/>
  <c r="H36" i="27"/>
  <c r="K36" i="27"/>
  <c r="K38" i="27"/>
  <c r="L38" i="27"/>
  <c r="L36" i="27"/>
  <c r="I38" i="27"/>
  <c r="I36" i="27"/>
  <c r="J36" i="27"/>
  <c r="J38" i="27"/>
  <c r="D36" i="27"/>
  <c r="G36" i="27"/>
  <c r="F36" i="27"/>
  <c r="F38" i="27"/>
  <c r="O83"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E89" i="27" l="1"/>
  <c r="E91" i="27"/>
  <c r="E93" i="27" s="1"/>
  <c r="E94" i="27" s="1"/>
  <c r="M119" i="27"/>
  <c r="O119" i="27" s="1"/>
  <c r="C49" i="5" s="1"/>
  <c r="H9" i="1" s="1"/>
  <c r="M116" i="27"/>
  <c r="M118" i="27"/>
  <c r="M120" i="27" s="1"/>
  <c r="M121" i="27" s="1"/>
  <c r="O114" i="27"/>
  <c r="O115" i="27"/>
  <c r="O118" i="27"/>
  <c r="C67" i="27"/>
  <c r="C68" i="27" s="1"/>
  <c r="O14" i="27"/>
  <c r="P14" i="27" s="1"/>
  <c r="O16" i="27"/>
  <c r="M141" i="27"/>
  <c r="M146" i="27" s="1"/>
  <c r="M143" i="27"/>
  <c r="M148" i="27" s="1"/>
  <c r="O148" i="27" s="1"/>
  <c r="M142" i="27"/>
  <c r="C93" i="27"/>
  <c r="C94" i="27" s="1"/>
  <c r="M87" i="27"/>
  <c r="O85" i="27"/>
  <c r="P85" i="27" s="1"/>
  <c r="M88" i="27"/>
  <c r="E40" i="27"/>
  <c r="E41" i="27" s="1"/>
  <c r="J40" i="27"/>
  <c r="J41" i="27" s="1"/>
  <c r="N40" i="27"/>
  <c r="N41" i="27" s="1"/>
  <c r="I40" i="27"/>
  <c r="I41" i="27" s="1"/>
  <c r="K40" i="27"/>
  <c r="K41" i="27" s="1"/>
  <c r="C40" i="27"/>
  <c r="C41" i="27" s="1"/>
  <c r="F40" i="27"/>
  <c r="F41" i="27" s="1"/>
  <c r="H40" i="27"/>
  <c r="H41" i="27" s="1"/>
  <c r="D24" i="27"/>
  <c r="M17" i="27"/>
  <c r="M18" i="27"/>
  <c r="O120" i="27" l="1"/>
  <c r="O121" i="27" s="1"/>
  <c r="D47" i="5"/>
  <c r="D51" i="5" s="1"/>
  <c r="O116" i="27"/>
  <c r="D66" i="5"/>
  <c r="D68" i="5" s="1"/>
  <c r="O143" i="27"/>
  <c r="O141" i="27"/>
  <c r="G49" i="5" s="1"/>
  <c r="H119" i="1" s="1"/>
  <c r="H172" i="1" s="1"/>
  <c r="H72" i="14" s="1"/>
  <c r="M144" i="27"/>
  <c r="M147" i="27"/>
  <c r="O147" i="27" s="1"/>
  <c r="O142" i="27"/>
  <c r="O146" i="27"/>
  <c r="M92" i="27"/>
  <c r="O92" i="27" s="1"/>
  <c r="C35" i="5" s="1"/>
  <c r="O88" i="27"/>
  <c r="M89" i="27"/>
  <c r="M91" i="27"/>
  <c r="O87" i="27"/>
  <c r="M22" i="27"/>
  <c r="O22" i="27" s="1"/>
  <c r="C9" i="5" s="1"/>
  <c r="O17" i="27"/>
  <c r="M23" i="27"/>
  <c r="O23" i="27" s="1"/>
  <c r="D9" i="5" s="1"/>
  <c r="O18" i="27"/>
  <c r="L40" i="27"/>
  <c r="L41" i="27" s="1"/>
  <c r="G40" i="27"/>
  <c r="G41" i="27" s="1"/>
  <c r="M19" i="27"/>
  <c r="M21" i="27"/>
  <c r="C66" i="5" l="1"/>
  <c r="C68" i="5" s="1"/>
  <c r="O144" i="27"/>
  <c r="M149" i="27"/>
  <c r="M150" i="27" s="1"/>
  <c r="O149" i="27"/>
  <c r="P146" i="27" s="1"/>
  <c r="B66" i="5"/>
  <c r="B68" i="5" s="1"/>
  <c r="K8" i="1" s="1"/>
  <c r="O89" i="27"/>
  <c r="O19" i="27"/>
  <c r="M93" i="27"/>
  <c r="M94" i="27" s="1"/>
  <c r="O91" i="27"/>
  <c r="M24" i="27"/>
  <c r="M25" i="27" s="1"/>
  <c r="O21" i="27"/>
  <c r="E66" i="5" l="1"/>
  <c r="E68" i="5" s="1"/>
  <c r="O150" i="27"/>
  <c r="P149" i="27"/>
  <c r="P148" i="27"/>
  <c r="P147" i="27"/>
  <c r="O93" i="27"/>
  <c r="O94" i="27" s="1"/>
  <c r="B35" i="5"/>
  <c r="D40" i="27"/>
  <c r="D41" i="27" s="1"/>
  <c r="O24" i="27"/>
  <c r="O25" i="27" s="1"/>
  <c r="B9" i="5"/>
  <c r="Q90" i="20" l="1"/>
  <c r="Q91" i="20"/>
  <c r="Q89" i="20"/>
  <c r="G38" i="5" l="1"/>
  <c r="G119" i="1" s="1"/>
  <c r="E38" i="5"/>
  <c r="E17" i="5"/>
  <c r="G17" i="5"/>
  <c r="E119" i="1" s="1"/>
  <c r="D16" i="5"/>
  <c r="G27" i="1" l="1"/>
  <c r="H50" i="1"/>
  <c r="H57" i="14" s="1"/>
  <c r="E27" i="1"/>
  <c r="F50" i="1"/>
  <c r="F57" i="14" s="1"/>
  <c r="D19" i="5"/>
  <c r="B38" i="5"/>
  <c r="C134" i="1"/>
  <c r="G8" i="1" l="1"/>
  <c r="D37" i="5"/>
  <c r="D41" i="5" s="1"/>
  <c r="G50" i="1" l="1"/>
  <c r="C38" i="5"/>
  <c r="H32" i="1" s="1"/>
  <c r="H51" i="14" s="1"/>
  <c r="Q45" i="6"/>
  <c r="G9" i="1" l="1"/>
  <c r="D38" i="5"/>
  <c r="D40" i="5" l="1"/>
  <c r="AD1" i="10" l="1"/>
  <c r="AO1" i="9"/>
  <c r="AN1" i="9"/>
  <c r="AM1" i="9"/>
  <c r="AD4" i="10" l="1"/>
  <c r="AD35" i="10"/>
  <c r="AM94" i="9"/>
  <c r="AM89" i="9"/>
  <c r="AM95" i="9"/>
  <c r="AM90" i="9"/>
  <c r="AM91" i="9"/>
  <c r="AM92" i="9"/>
  <c r="AM93" i="9"/>
  <c r="AM98" i="9"/>
  <c r="AM102" i="9"/>
  <c r="AM99" i="9"/>
  <c r="AM103" i="9"/>
  <c r="AM100" i="9"/>
  <c r="AM96" i="9"/>
  <c r="AM97" i="9"/>
  <c r="AS97" i="9" s="1"/>
  <c r="AM104" i="9"/>
  <c r="AN87" i="9"/>
  <c r="AN104" i="9"/>
  <c r="AN88" i="9"/>
  <c r="AN89" i="9"/>
  <c r="AN90" i="9"/>
  <c r="AN91" i="9"/>
  <c r="AN92" i="9"/>
  <c r="AN93" i="9"/>
  <c r="AN94" i="9"/>
  <c r="AN97" i="9"/>
  <c r="AT97" i="9" s="1"/>
  <c r="AN98" i="9"/>
  <c r="AN99" i="9"/>
  <c r="AN100" i="9"/>
  <c r="AN102" i="9"/>
  <c r="AN96" i="9"/>
  <c r="AN103" i="9"/>
  <c r="AN95" i="9"/>
  <c r="AO88" i="9"/>
  <c r="AO89" i="9"/>
  <c r="AO90" i="9"/>
  <c r="AO91" i="9"/>
  <c r="AO94" i="9"/>
  <c r="AO92" i="9"/>
  <c r="AO95" i="9"/>
  <c r="AO93" i="9"/>
  <c r="AO98" i="9"/>
  <c r="AO103" i="9"/>
  <c r="AO99" i="9"/>
  <c r="AO102" i="9"/>
  <c r="AO86" i="9"/>
  <c r="AO100" i="9"/>
  <c r="AO85" i="9"/>
  <c r="AO87" i="9"/>
  <c r="AO96" i="9"/>
  <c r="AO97" i="9"/>
  <c r="AU97" i="9" s="1"/>
  <c r="AO104" i="9"/>
  <c r="AO154" i="9"/>
  <c r="AM154" i="9"/>
  <c r="AN154" i="9"/>
  <c r="AN33" i="9"/>
  <c r="AN34" i="9"/>
  <c r="AN60" i="9"/>
  <c r="AN61" i="9"/>
  <c r="AM33" i="9"/>
  <c r="AM60" i="9"/>
  <c r="AM34" i="9"/>
  <c r="AM61" i="9"/>
  <c r="AO34" i="9"/>
  <c r="AO60" i="9"/>
  <c r="AO61" i="9"/>
  <c r="AO33" i="9"/>
  <c r="AM56" i="9"/>
  <c r="AM79" i="9"/>
  <c r="AN56" i="9"/>
  <c r="AN79" i="9"/>
  <c r="AO56" i="9"/>
  <c r="AO79" i="9"/>
  <c r="AO68" i="9"/>
  <c r="AO4" i="9"/>
  <c r="AD49" i="10"/>
  <c r="AE49" i="10" s="1"/>
  <c r="AD46" i="10"/>
  <c r="AE46" i="10" s="1"/>
  <c r="AD39" i="10"/>
  <c r="AE39" i="10" s="1"/>
  <c r="AD40" i="10"/>
  <c r="AE40" i="10" s="1"/>
  <c r="AD45" i="10"/>
  <c r="AD47" i="10"/>
  <c r="AD44" i="10"/>
  <c r="AD8" i="10"/>
  <c r="AD43" i="10"/>
  <c r="AE43" i="10" s="1"/>
  <c r="AD41" i="10"/>
  <c r="AE41" i="10" s="1"/>
  <c r="AD48" i="10"/>
  <c r="AD42" i="10"/>
  <c r="AE44" i="10" l="1"/>
  <c r="AE47" i="10"/>
  <c r="AE45" i="10"/>
  <c r="AE42" i="10"/>
  <c r="AE48" i="10"/>
  <c r="D42" i="5"/>
  <c r="D43" i="5" s="1"/>
  <c r="D20" i="5"/>
  <c r="G18" i="1" l="1"/>
  <c r="H18" i="1"/>
  <c r="I79" i="18"/>
  <c r="H41" i="1" l="1"/>
  <c r="N19" i="7"/>
  <c r="F38" i="5"/>
  <c r="F17" i="5"/>
  <c r="E25" i="1" l="1"/>
  <c r="F48" i="1"/>
  <c r="F56" i="14" s="1"/>
  <c r="G25" i="1"/>
  <c r="H48" i="1"/>
  <c r="H56" i="14" s="1"/>
  <c r="H53" i="14"/>
  <c r="Q50" i="18" l="1"/>
  <c r="G48" i="1"/>
  <c r="H71" i="14"/>
  <c r="H64" i="14"/>
  <c r="F71" i="14"/>
  <c r="F64" i="14"/>
  <c r="Z1" i="10"/>
  <c r="E74" i="14" l="1"/>
  <c r="L38" i="1"/>
  <c r="K38" i="1"/>
  <c r="I38" i="1"/>
  <c r="G38" i="1"/>
  <c r="E38" i="1"/>
  <c r="D38" i="1"/>
  <c r="E82" i="14" l="1"/>
  <c r="E85" i="14" s="1"/>
  <c r="C38" i="1"/>
  <c r="L21" i="1" l="1"/>
  <c r="Q63" i="6"/>
  <c r="Q62" i="6"/>
  <c r="Q61" i="6"/>
  <c r="Q60" i="6"/>
  <c r="Q59" i="6"/>
  <c r="Q58" i="6"/>
  <c r="Q57" i="6"/>
  <c r="Q56" i="6"/>
  <c r="Q55" i="6"/>
  <c r="Q54" i="6"/>
  <c r="Q53" i="6"/>
  <c r="Q52" i="6"/>
  <c r="Q51" i="6"/>
  <c r="Q50" i="6"/>
  <c r="Q49" i="6"/>
  <c r="Q48" i="6"/>
  <c r="Q47"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5" i="6" l="1"/>
  <c r="Q25" i="6"/>
  <c r="B58" i="5" s="1"/>
  <c r="Q159" i="6"/>
  <c r="Q173" i="6"/>
  <c r="Q163" i="6"/>
  <c r="Q177" i="6"/>
  <c r="Q170" i="6"/>
  <c r="R16" i="6"/>
  <c r="R20" i="6"/>
  <c r="S20" i="6" s="1"/>
  <c r="R13" i="6"/>
  <c r="R10" i="6"/>
  <c r="R6" i="6"/>
  <c r="R5" i="6"/>
  <c r="R14" i="6"/>
  <c r="R12" i="6"/>
  <c r="R11" i="6"/>
  <c r="R9" i="6"/>
  <c r="R7" i="6"/>
  <c r="R22" i="6"/>
  <c r="R18" i="6"/>
  <c r="R8" i="6"/>
  <c r="R4" i="6"/>
  <c r="Q174" i="6"/>
  <c r="Q171" i="6"/>
  <c r="Q176" i="6"/>
  <c r="Q172" i="6"/>
  <c r="Q169" i="6"/>
  <c r="Q167" i="6"/>
  <c r="Q166" i="6"/>
  <c r="Q164" i="6"/>
  <c r="Q162" i="6"/>
  <c r="Q160" i="6"/>
  <c r="Q175" i="6"/>
  <c r="Q168" i="6"/>
  <c r="Q165" i="6"/>
  <c r="Q161" i="6"/>
  <c r="R21" i="6"/>
  <c r="R19" i="6"/>
  <c r="R17" i="6"/>
  <c r="R15" i="6"/>
  <c r="R25" i="6" l="1"/>
  <c r="C58" i="5" s="1"/>
  <c r="S14" i="6"/>
  <c r="S18" i="6"/>
  <c r="S22" i="6"/>
  <c r="S15" i="6"/>
  <c r="S4" i="6"/>
  <c r="S17" i="6"/>
  <c r="S19" i="6"/>
  <c r="S8" i="6"/>
  <c r="S11" i="6"/>
  <c r="S5" i="6"/>
  <c r="S10" i="6"/>
  <c r="S16" i="6"/>
  <c r="S7" i="6"/>
  <c r="S21" i="6"/>
  <c r="S9" i="6"/>
  <c r="S12" i="6"/>
  <c r="S6" i="6"/>
  <c r="S13" i="6"/>
  <c r="G39" i="9"/>
  <c r="S25" i="6" l="1"/>
  <c r="S26" i="6" s="1"/>
  <c r="N62" i="14" l="1"/>
  <c r="I57" i="10" l="1"/>
  <c r="Q10" i="1"/>
  <c r="O57" i="1" s="1"/>
  <c r="O58" i="1" s="1"/>
  <c r="E198" i="1"/>
  <c r="E50" i="1"/>
  <c r="E57" i="14" s="1"/>
  <c r="E172" i="1"/>
  <c r="E33" i="1"/>
  <c r="E52" i="14" s="1"/>
  <c r="E34" i="1"/>
  <c r="E35" i="1"/>
  <c r="D274" i="1"/>
  <c r="D275" i="1"/>
  <c r="D283" i="1" s="1"/>
  <c r="G198" i="1"/>
  <c r="G57" i="14"/>
  <c r="G172" i="1"/>
  <c r="G173" i="1"/>
  <c r="G33" i="1"/>
  <c r="G52" i="14" s="1"/>
  <c r="G34" i="1"/>
  <c r="G35" i="1"/>
  <c r="D35" i="5"/>
  <c r="I41" i="1"/>
  <c r="I128" i="1"/>
  <c r="K31" i="1"/>
  <c r="K119" i="1"/>
  <c r="K172" i="1" s="1"/>
  <c r="K72" i="14" s="1"/>
  <c r="K33" i="1"/>
  <c r="K52" i="14" s="1"/>
  <c r="K34" i="1"/>
  <c r="K35" i="1"/>
  <c r="AK81" i="9"/>
  <c r="AL81" i="9"/>
  <c r="AM81" i="9"/>
  <c r="AN81" i="9"/>
  <c r="L41" i="1"/>
  <c r="L181" i="1" s="1"/>
  <c r="L128" i="1"/>
  <c r="D8" i="1"/>
  <c r="D9" i="1"/>
  <c r="D10" i="1"/>
  <c r="D165" i="1"/>
  <c r="D34" i="1"/>
  <c r="D169" i="1" s="1"/>
  <c r="D35" i="1"/>
  <c r="E9" i="5"/>
  <c r="I34" i="1"/>
  <c r="I35" i="1"/>
  <c r="I21" i="1"/>
  <c r="I44" i="1" s="1"/>
  <c r="I54" i="14" s="1"/>
  <c r="D112" i="20"/>
  <c r="D110" i="20"/>
  <c r="D108" i="20"/>
  <c r="D87" i="20"/>
  <c r="D86" i="20"/>
  <c r="D83" i="20"/>
  <c r="D70" i="20"/>
  <c r="D69" i="20"/>
  <c r="D67" i="20"/>
  <c r="D66" i="20"/>
  <c r="D39" i="20"/>
  <c r="D36" i="20"/>
  <c r="D17" i="20"/>
  <c r="D16" i="20"/>
  <c r="D15" i="20"/>
  <c r="D13" i="20"/>
  <c r="B2" i="1"/>
  <c r="N13" i="20"/>
  <c r="E26" i="14"/>
  <c r="N33" i="20" s="1"/>
  <c r="K26" i="14"/>
  <c r="N108" i="20" s="1"/>
  <c r="Q108" i="20" s="1"/>
  <c r="E32" i="14"/>
  <c r="E42" i="14" s="1"/>
  <c r="M39" i="20" s="1"/>
  <c r="G31" i="14"/>
  <c r="N69" i="20" s="1"/>
  <c r="Q69" i="20" s="1"/>
  <c r="G32" i="14"/>
  <c r="G42" i="14" s="1"/>
  <c r="M70" i="20" s="1"/>
  <c r="I31" i="14"/>
  <c r="I32" i="14"/>
  <c r="F7" i="7"/>
  <c r="C7" i="7"/>
  <c r="F112" i="20"/>
  <c r="H112" i="20" s="1"/>
  <c r="F110" i="20"/>
  <c r="F67" i="20"/>
  <c r="H67" i="20" s="1"/>
  <c r="F36" i="20"/>
  <c r="H36" i="20" s="1"/>
  <c r="F66" i="20"/>
  <c r="H66" i="20" s="1"/>
  <c r="F35" i="20"/>
  <c r="H35" i="20" s="1"/>
  <c r="F83" i="20"/>
  <c r="F17" i="20"/>
  <c r="H17" i="20" s="1"/>
  <c r="F16" i="20"/>
  <c r="F15" i="20"/>
  <c r="G10" i="10"/>
  <c r="G11" i="10"/>
  <c r="G12" i="10"/>
  <c r="G13" i="10"/>
  <c r="G14" i="10"/>
  <c r="G15" i="10"/>
  <c r="G16" i="10"/>
  <c r="G17" i="10"/>
  <c r="G18" i="10"/>
  <c r="G19" i="10"/>
  <c r="G20" i="10"/>
  <c r="E148" i="9"/>
  <c r="G54" i="10"/>
  <c r="G98" i="10"/>
  <c r="G7" i="9"/>
  <c r="G8" i="9"/>
  <c r="G9" i="9"/>
  <c r="G10" i="9"/>
  <c r="G12" i="9"/>
  <c r="G13" i="9"/>
  <c r="G16" i="9"/>
  <c r="G19" i="9"/>
  <c r="G22" i="9"/>
  <c r="G25" i="9"/>
  <c r="G27" i="9"/>
  <c r="G30" i="9"/>
  <c r="G33" i="9"/>
  <c r="G36" i="9"/>
  <c r="G40" i="9"/>
  <c r="G43" i="9"/>
  <c r="G46" i="9"/>
  <c r="G49" i="9"/>
  <c r="G52" i="9"/>
  <c r="G55" i="9"/>
  <c r="G58" i="9"/>
  <c r="G65" i="9"/>
  <c r="G66" i="9"/>
  <c r="G67" i="9"/>
  <c r="G68" i="9"/>
  <c r="G71" i="9"/>
  <c r="G74" i="9"/>
  <c r="G79" i="9"/>
  <c r="G81" i="9"/>
  <c r="G82" i="9"/>
  <c r="G84" i="9"/>
  <c r="G85" i="9"/>
  <c r="G86" i="9"/>
  <c r="G87" i="9"/>
  <c r="G88" i="9"/>
  <c r="G89" i="9"/>
  <c r="AV104" i="9"/>
  <c r="G90" i="9"/>
  <c r="G91" i="9"/>
  <c r="G92" i="9"/>
  <c r="G93" i="9"/>
  <c r="G94" i="9"/>
  <c r="G95" i="9"/>
  <c r="G96" i="9"/>
  <c r="G97" i="9"/>
  <c r="G98" i="9"/>
  <c r="G99" i="9"/>
  <c r="G101" i="9"/>
  <c r="G102" i="9"/>
  <c r="G103" i="9"/>
  <c r="G105" i="9"/>
  <c r="G106" i="9"/>
  <c r="G107" i="9"/>
  <c r="G108" i="9"/>
  <c r="G133" i="9"/>
  <c r="G137" i="9"/>
  <c r="G138" i="9"/>
  <c r="G139" i="9"/>
  <c r="G140" i="9"/>
  <c r="G141" i="9"/>
  <c r="G142" i="9"/>
  <c r="D7" i="7"/>
  <c r="G7" i="7"/>
  <c r="R1" i="6"/>
  <c r="S1" i="6"/>
  <c r="E35" i="6"/>
  <c r="M35" i="6"/>
  <c r="O35" i="6"/>
  <c r="D44" i="6"/>
  <c r="E44" i="6"/>
  <c r="F44" i="6"/>
  <c r="G44" i="6"/>
  <c r="H44" i="6"/>
  <c r="I44" i="6"/>
  <c r="J44" i="6"/>
  <c r="K44" i="6"/>
  <c r="L44" i="6"/>
  <c r="M44" i="6"/>
  <c r="N44" i="6"/>
  <c r="O44" i="6"/>
  <c r="P68" i="6"/>
  <c r="D69" i="6"/>
  <c r="E69" i="6"/>
  <c r="F69" i="6"/>
  <c r="G69" i="6"/>
  <c r="H69" i="6"/>
  <c r="I69" i="6"/>
  <c r="J69" i="6"/>
  <c r="K69" i="6"/>
  <c r="L69" i="6"/>
  <c r="M69" i="6"/>
  <c r="N69" i="6"/>
  <c r="O69" i="6"/>
  <c r="J83" i="6"/>
  <c r="K83" i="6"/>
  <c r="L83" i="6"/>
  <c r="M83" i="6"/>
  <c r="N83" i="6"/>
  <c r="O83" i="6"/>
  <c r="J84" i="6"/>
  <c r="K84" i="6"/>
  <c r="L84" i="6"/>
  <c r="M84" i="6"/>
  <c r="N84" i="6"/>
  <c r="O84" i="6"/>
  <c r="J85" i="6"/>
  <c r="K85" i="6"/>
  <c r="L85" i="6"/>
  <c r="M85" i="6"/>
  <c r="N85" i="6"/>
  <c r="O85" i="6"/>
  <c r="J86" i="6"/>
  <c r="K86" i="6"/>
  <c r="L86" i="6"/>
  <c r="M86" i="6"/>
  <c r="N86" i="6"/>
  <c r="O86" i="6"/>
  <c r="J87" i="6"/>
  <c r="K87" i="6"/>
  <c r="L87" i="6"/>
  <c r="M87" i="6"/>
  <c r="N87" i="6"/>
  <c r="O87" i="6"/>
  <c r="J88" i="6"/>
  <c r="K88" i="6"/>
  <c r="L88" i="6"/>
  <c r="M88" i="6"/>
  <c r="N88" i="6"/>
  <c r="O88" i="6"/>
  <c r="D124" i="6"/>
  <c r="E124" i="6"/>
  <c r="F124" i="6"/>
  <c r="G124" i="6"/>
  <c r="H124" i="6"/>
  <c r="I124" i="6"/>
  <c r="J124" i="6"/>
  <c r="K124" i="6"/>
  <c r="L124" i="6"/>
  <c r="M124" i="6"/>
  <c r="N124" i="6"/>
  <c r="O124" i="6"/>
  <c r="C119" i="14"/>
  <c r="A15" i="20"/>
  <c r="D74" i="14"/>
  <c r="D82" i="14" s="1"/>
  <c r="D85" i="14" s="1"/>
  <c r="A16" i="20"/>
  <c r="D75" i="14"/>
  <c r="D83" i="14" s="1"/>
  <c r="D86" i="14" s="1"/>
  <c r="A17" i="20"/>
  <c r="D76" i="14"/>
  <c r="D84" i="14" s="1"/>
  <c r="D87" i="14" s="1"/>
  <c r="F33" i="20"/>
  <c r="A35" i="20"/>
  <c r="E27" i="14"/>
  <c r="E37" i="14" s="1"/>
  <c r="A36" i="20"/>
  <c r="E75" i="14"/>
  <c r="E83" i="14" s="1"/>
  <c r="E86" i="14" s="1"/>
  <c r="Z38" i="14"/>
  <c r="A38" i="20"/>
  <c r="A39" i="20"/>
  <c r="F39" i="20"/>
  <c r="A66" i="20"/>
  <c r="G74" i="14"/>
  <c r="A67" i="20"/>
  <c r="G75" i="14"/>
  <c r="G83" i="14" s="1"/>
  <c r="G86" i="14" s="1"/>
  <c r="AA38" i="14"/>
  <c r="A69" i="20"/>
  <c r="F69" i="20"/>
  <c r="A70" i="20"/>
  <c r="F70" i="20"/>
  <c r="E71" i="20"/>
  <c r="J71" i="20"/>
  <c r="S71" i="20" s="1"/>
  <c r="A82" i="20"/>
  <c r="A83" i="20"/>
  <c r="I75" i="14"/>
  <c r="AB38" i="14"/>
  <c r="A84" i="20"/>
  <c r="AB39" i="14"/>
  <c r="A86" i="20"/>
  <c r="A87" i="20"/>
  <c r="E89" i="20"/>
  <c r="J89" i="20"/>
  <c r="S89" i="20" s="1"/>
  <c r="E90" i="20"/>
  <c r="S90" i="20"/>
  <c r="E91" i="20"/>
  <c r="J91" i="20"/>
  <c r="S91" i="20" s="1"/>
  <c r="F108" i="20"/>
  <c r="K74" i="14"/>
  <c r="K82" i="14" s="1"/>
  <c r="K75" i="14"/>
  <c r="K83" i="14" s="1"/>
  <c r="AC38" i="14"/>
  <c r="D41" i="18"/>
  <c r="E12" i="14"/>
  <c r="G12" i="14"/>
  <c r="I12" i="14"/>
  <c r="K12" i="14"/>
  <c r="Q15" i="14"/>
  <c r="R15" i="14"/>
  <c r="T15" i="14"/>
  <c r="V15" i="14"/>
  <c r="Q16" i="14"/>
  <c r="R16" i="14"/>
  <c r="T16" i="14"/>
  <c r="V16" i="14"/>
  <c r="Q17" i="14"/>
  <c r="R17" i="14"/>
  <c r="T17" i="14"/>
  <c r="V17" i="14"/>
  <c r="Q20" i="14"/>
  <c r="R20" i="14"/>
  <c r="T20" i="14"/>
  <c r="V20" i="14"/>
  <c r="D24" i="14"/>
  <c r="G24" i="14"/>
  <c r="I24" i="14"/>
  <c r="K24" i="14"/>
  <c r="G26" i="14"/>
  <c r="G36" i="14" s="1"/>
  <c r="I26" i="14"/>
  <c r="I36" i="14" s="1"/>
  <c r="D31" i="14"/>
  <c r="E31" i="14"/>
  <c r="K31" i="14"/>
  <c r="D32" i="14"/>
  <c r="K32" i="14"/>
  <c r="D34" i="14"/>
  <c r="E34" i="14"/>
  <c r="G34" i="14"/>
  <c r="I34" i="14"/>
  <c r="K34" i="14"/>
  <c r="Q37" i="14"/>
  <c r="R37" i="14"/>
  <c r="T37" i="14"/>
  <c r="V37" i="14"/>
  <c r="Q38" i="14"/>
  <c r="R38" i="14"/>
  <c r="T38" i="14"/>
  <c r="V38" i="14"/>
  <c r="Y38" i="14"/>
  <c r="Q39" i="14"/>
  <c r="R39" i="14"/>
  <c r="T39" i="14"/>
  <c r="V39" i="14"/>
  <c r="Y39" i="14"/>
  <c r="Z39" i="14"/>
  <c r="AA39" i="14"/>
  <c r="AC39" i="14"/>
  <c r="Y40" i="14"/>
  <c r="Z40" i="14"/>
  <c r="AA40" i="14"/>
  <c r="AB40" i="14"/>
  <c r="AC40" i="14"/>
  <c r="Q42" i="14"/>
  <c r="R42" i="14"/>
  <c r="T42" i="14"/>
  <c r="V42" i="14"/>
  <c r="D57" i="14"/>
  <c r="K57" i="14"/>
  <c r="D61" i="14"/>
  <c r="D63" i="14" s="1"/>
  <c r="E61" i="14"/>
  <c r="E63" i="14" s="1"/>
  <c r="G61" i="14"/>
  <c r="G63" i="14" s="1"/>
  <c r="I61" i="14"/>
  <c r="I63" i="14" s="1"/>
  <c r="O62" i="14"/>
  <c r="P62" i="14"/>
  <c r="D65" i="14"/>
  <c r="D67" i="14" s="1"/>
  <c r="E65" i="14"/>
  <c r="E67" i="14" s="1"/>
  <c r="G65" i="14"/>
  <c r="G67" i="14" s="1"/>
  <c r="I65" i="14"/>
  <c r="K65" i="14"/>
  <c r="K67" i="14" s="1"/>
  <c r="N66" i="14"/>
  <c r="O66" i="14"/>
  <c r="P66" i="14"/>
  <c r="D68" i="14"/>
  <c r="D70" i="14" s="1"/>
  <c r="G70" i="14"/>
  <c r="K68" i="14"/>
  <c r="K70" i="14" s="1"/>
  <c r="N69" i="14"/>
  <c r="O69" i="14"/>
  <c r="P69" i="14"/>
  <c r="E70" i="14"/>
  <c r="D72" i="14"/>
  <c r="E76" i="14"/>
  <c r="E84" i="14" s="1"/>
  <c r="E87" i="14" s="1"/>
  <c r="E29" i="14" s="1"/>
  <c r="G76" i="14"/>
  <c r="G84" i="14" s="1"/>
  <c r="G87" i="14" s="1"/>
  <c r="G29" i="14" s="1"/>
  <c r="K76" i="14"/>
  <c r="K84" i="14" s="1"/>
  <c r="P79" i="14"/>
  <c r="P83" i="14"/>
  <c r="P86" i="14" s="1"/>
  <c r="P85" i="14"/>
  <c r="Q86" i="14"/>
  <c r="P87" i="14"/>
  <c r="I90" i="14"/>
  <c r="A95" i="14"/>
  <c r="G100" i="14"/>
  <c r="I100" i="14"/>
  <c r="K101" i="14"/>
  <c r="I103" i="14"/>
  <c r="C169" i="1"/>
  <c r="C116" i="1"/>
  <c r="C108" i="14"/>
  <c r="F108" i="14"/>
  <c r="B109" i="14"/>
  <c r="Q9" i="1"/>
  <c r="S6" i="1" s="1"/>
  <c r="L31" i="1"/>
  <c r="L32" i="1"/>
  <c r="L33" i="1"/>
  <c r="L34" i="1"/>
  <c r="L44" i="1"/>
  <c r="O55" i="1"/>
  <c r="O56" i="1"/>
  <c r="C112" i="1"/>
  <c r="C165" i="1"/>
  <c r="B209" i="1"/>
  <c r="B264" i="1"/>
  <c r="K9" i="1"/>
  <c r="AD51" i="10"/>
  <c r="AD52" i="10"/>
  <c r="AD53" i="10"/>
  <c r="G31" i="1"/>
  <c r="L69" i="1"/>
  <c r="D70" i="1"/>
  <c r="D69" i="1"/>
  <c r="H69" i="1"/>
  <c r="J64" i="1"/>
  <c r="J59" i="1"/>
  <c r="K63" i="1"/>
  <c r="H63" i="1"/>
  <c r="L63" i="1"/>
  <c r="J63" i="1"/>
  <c r="G70" i="1"/>
  <c r="D59" i="1"/>
  <c r="F64" i="1"/>
  <c r="K69" i="1"/>
  <c r="G64" i="1"/>
  <c r="H64" i="1"/>
  <c r="G59" i="1"/>
  <c r="H59" i="1"/>
  <c r="J69" i="1"/>
  <c r="J70" i="1"/>
  <c r="F59" i="1"/>
  <c r="G63" i="1"/>
  <c r="F69" i="1"/>
  <c r="J62" i="1"/>
  <c r="L59" i="1"/>
  <c r="E59" i="1"/>
  <c r="G62" i="1"/>
  <c r="L62" i="1"/>
  <c r="I62" i="1"/>
  <c r="I70" i="1"/>
  <c r="L70" i="1"/>
  <c r="H70" i="1"/>
  <c r="K59" i="1"/>
  <c r="F63" i="1"/>
  <c r="E63" i="1"/>
  <c r="L64" i="1"/>
  <c r="K64" i="1"/>
  <c r="E62" i="1"/>
  <c r="I59" i="1"/>
  <c r="F70" i="1"/>
  <c r="H62" i="1"/>
  <c r="I63" i="1"/>
  <c r="D64" i="1"/>
  <c r="E69" i="1"/>
  <c r="E70" i="1"/>
  <c r="D63" i="1"/>
  <c r="G69" i="1"/>
  <c r="K62" i="1"/>
  <c r="D62" i="1"/>
  <c r="E64" i="1"/>
  <c r="I69" i="1"/>
  <c r="F62" i="1"/>
  <c r="K70" i="1"/>
  <c r="I67" i="14" l="1"/>
  <c r="M150" i="6"/>
  <c r="E150" i="6"/>
  <c r="I149" i="6"/>
  <c r="M148" i="6"/>
  <c r="E148" i="6"/>
  <c r="I147" i="6"/>
  <c r="M146" i="6"/>
  <c r="E146" i="6"/>
  <c r="I145" i="6"/>
  <c r="M144" i="6"/>
  <c r="E144" i="6"/>
  <c r="I143" i="6"/>
  <c r="M142" i="6"/>
  <c r="E142" i="6"/>
  <c r="I141" i="6"/>
  <c r="M140" i="6"/>
  <c r="E140" i="6"/>
  <c r="I139" i="6"/>
  <c r="J138" i="6"/>
  <c r="N137" i="6"/>
  <c r="F137" i="6"/>
  <c r="J136" i="6"/>
  <c r="N135" i="6"/>
  <c r="F135" i="6"/>
  <c r="J134" i="6"/>
  <c r="N133" i="6"/>
  <c r="F133" i="6"/>
  <c r="L150" i="6"/>
  <c r="D150" i="6"/>
  <c r="H149" i="6"/>
  <c r="L148" i="6"/>
  <c r="D148" i="6"/>
  <c r="H147" i="6"/>
  <c r="L146" i="6"/>
  <c r="D146" i="6"/>
  <c r="H145" i="6"/>
  <c r="L144" i="6"/>
  <c r="D144" i="6"/>
  <c r="H143" i="6"/>
  <c r="L142" i="6"/>
  <c r="D142" i="6"/>
  <c r="H141" i="6"/>
  <c r="L140" i="6"/>
  <c r="D140" i="6"/>
  <c r="H139" i="6"/>
  <c r="I138" i="6"/>
  <c r="M137" i="6"/>
  <c r="E137" i="6"/>
  <c r="I136" i="6"/>
  <c r="M135" i="6"/>
  <c r="E135" i="6"/>
  <c r="I134" i="6"/>
  <c r="M133" i="6"/>
  <c r="E133" i="6"/>
  <c r="K150" i="6"/>
  <c r="O149" i="6"/>
  <c r="G149" i="6"/>
  <c r="K148" i="6"/>
  <c r="O147" i="6"/>
  <c r="G147" i="6"/>
  <c r="K146" i="6"/>
  <c r="O145" i="6"/>
  <c r="G145" i="6"/>
  <c r="K144" i="6"/>
  <c r="O143" i="6"/>
  <c r="G143" i="6"/>
  <c r="K142" i="6"/>
  <c r="O141" i="6"/>
  <c r="G141" i="6"/>
  <c r="K140" i="6"/>
  <c r="O139" i="6"/>
  <c r="G139" i="6"/>
  <c r="H138" i="6"/>
  <c r="L137" i="6"/>
  <c r="D137" i="6"/>
  <c r="H136" i="6"/>
  <c r="L135" i="6"/>
  <c r="D135" i="6"/>
  <c r="H134" i="6"/>
  <c r="L133" i="6"/>
  <c r="D133" i="6"/>
  <c r="J150" i="6"/>
  <c r="N149" i="6"/>
  <c r="F149" i="6"/>
  <c r="J148" i="6"/>
  <c r="N147" i="6"/>
  <c r="F147" i="6"/>
  <c r="J146" i="6"/>
  <c r="N145" i="6"/>
  <c r="F145" i="6"/>
  <c r="J144" i="6"/>
  <c r="N143" i="6"/>
  <c r="F143" i="6"/>
  <c r="J142" i="6"/>
  <c r="N141" i="6"/>
  <c r="F141" i="6"/>
  <c r="J140" i="6"/>
  <c r="N139" i="6"/>
  <c r="O138" i="6"/>
  <c r="G138" i="6"/>
  <c r="K137" i="6"/>
  <c r="O136" i="6"/>
  <c r="G136" i="6"/>
  <c r="K135" i="6"/>
  <c r="O134" i="6"/>
  <c r="G134" i="6"/>
  <c r="K133" i="6"/>
  <c r="I150" i="6"/>
  <c r="M149" i="6"/>
  <c r="E149" i="6"/>
  <c r="I148" i="6"/>
  <c r="M147" i="6"/>
  <c r="E147" i="6"/>
  <c r="I146" i="6"/>
  <c r="M145" i="6"/>
  <c r="E145" i="6"/>
  <c r="I144" i="6"/>
  <c r="M143" i="6"/>
  <c r="E143" i="6"/>
  <c r="I142" i="6"/>
  <c r="M141" i="6"/>
  <c r="E141" i="6"/>
  <c r="I140" i="6"/>
  <c r="M139" i="6"/>
  <c r="N138" i="6"/>
  <c r="F138" i="6"/>
  <c r="J137" i="6"/>
  <c r="N136" i="6"/>
  <c r="F136" i="6"/>
  <c r="J135" i="6"/>
  <c r="N134" i="6"/>
  <c r="F134" i="6"/>
  <c r="J133" i="6"/>
  <c r="I74" i="14"/>
  <c r="I82" i="14" s="1"/>
  <c r="I85" i="14" s="1"/>
  <c r="H150" i="6"/>
  <c r="L149" i="6"/>
  <c r="D149" i="6"/>
  <c r="H148" i="6"/>
  <c r="L147" i="6"/>
  <c r="D147" i="6"/>
  <c r="H146" i="6"/>
  <c r="L145" i="6"/>
  <c r="D145" i="6"/>
  <c r="H144" i="6"/>
  <c r="L143" i="6"/>
  <c r="D143" i="6"/>
  <c r="H142" i="6"/>
  <c r="L141" i="6"/>
  <c r="D141" i="6"/>
  <c r="H140" i="6"/>
  <c r="L139" i="6"/>
  <c r="M138" i="6"/>
  <c r="E138" i="6"/>
  <c r="I137" i="6"/>
  <c r="M136" i="6"/>
  <c r="E136" i="6"/>
  <c r="I135" i="6"/>
  <c r="M134" i="6"/>
  <c r="E134" i="6"/>
  <c r="I15" i="14"/>
  <c r="F82" i="20" s="1"/>
  <c r="D151" i="6"/>
  <c r="H152" i="6"/>
  <c r="E151" i="6"/>
  <c r="I152" i="6"/>
  <c r="I151" i="6"/>
  <c r="F151" i="6"/>
  <c r="D152" i="6"/>
  <c r="E152" i="6"/>
  <c r="G151" i="6"/>
  <c r="H151" i="6"/>
  <c r="F152" i="6"/>
  <c r="G152" i="6"/>
  <c r="O152" i="6"/>
  <c r="N151" i="6"/>
  <c r="K152" i="6"/>
  <c r="K151" i="6"/>
  <c r="M151" i="6"/>
  <c r="M152" i="6"/>
  <c r="J152" i="6"/>
  <c r="N152" i="6"/>
  <c r="L152" i="6"/>
  <c r="L151" i="6"/>
  <c r="J151" i="6"/>
  <c r="O151" i="6"/>
  <c r="O150" i="6"/>
  <c r="G150" i="6"/>
  <c r="K149" i="6"/>
  <c r="O148" i="6"/>
  <c r="G148" i="6"/>
  <c r="K147" i="6"/>
  <c r="O146" i="6"/>
  <c r="G146" i="6"/>
  <c r="K145" i="6"/>
  <c r="O144" i="6"/>
  <c r="G144" i="6"/>
  <c r="K143" i="6"/>
  <c r="O142" i="6"/>
  <c r="G142" i="6"/>
  <c r="K141" i="6"/>
  <c r="O140" i="6"/>
  <c r="G140" i="6"/>
  <c r="K139" i="6"/>
  <c r="L138" i="6"/>
  <c r="D138" i="6"/>
  <c r="H137" i="6"/>
  <c r="L136" i="6"/>
  <c r="D136" i="6"/>
  <c r="H135" i="6"/>
  <c r="L134" i="6"/>
  <c r="D134" i="6"/>
  <c r="H133" i="6"/>
  <c r="N150" i="6"/>
  <c r="F150" i="6"/>
  <c r="J149" i="6"/>
  <c r="N148" i="6"/>
  <c r="F148" i="6"/>
  <c r="J147" i="6"/>
  <c r="N146" i="6"/>
  <c r="F146" i="6"/>
  <c r="J145" i="6"/>
  <c r="N144" i="6"/>
  <c r="F144" i="6"/>
  <c r="J143" i="6"/>
  <c r="N142" i="6"/>
  <c r="F142" i="6"/>
  <c r="J141" i="6"/>
  <c r="N140" i="6"/>
  <c r="F140" i="6"/>
  <c r="J139" i="6"/>
  <c r="K138" i="6"/>
  <c r="O137" i="6"/>
  <c r="G137" i="6"/>
  <c r="K136" i="6"/>
  <c r="O135" i="6"/>
  <c r="G135" i="6"/>
  <c r="K134" i="6"/>
  <c r="O133" i="6"/>
  <c r="G133" i="6"/>
  <c r="D82" i="20"/>
  <c r="F58" i="20"/>
  <c r="E58" i="20" s="1"/>
  <c r="F52" i="20"/>
  <c r="E52" i="20" s="1"/>
  <c r="Q33" i="20"/>
  <c r="N52" i="20"/>
  <c r="Q52" i="20" s="1"/>
  <c r="N58" i="20"/>
  <c r="Q58" i="20" s="1"/>
  <c r="D20" i="20"/>
  <c r="D26" i="20"/>
  <c r="Q13" i="20"/>
  <c r="N20" i="20"/>
  <c r="Q20" i="20" s="1"/>
  <c r="N26" i="20"/>
  <c r="Q26" i="20" s="1"/>
  <c r="C9" i="44"/>
  <c r="C14" i="44" s="1"/>
  <c r="H16" i="20"/>
  <c r="D9" i="44"/>
  <c r="E146" i="1"/>
  <c r="G146" i="1"/>
  <c r="K146" i="1"/>
  <c r="K147" i="1" s="1"/>
  <c r="K87" i="14"/>
  <c r="H117" i="1"/>
  <c r="G117" i="1"/>
  <c r="N103" i="9"/>
  <c r="Q100" i="9"/>
  <c r="Q99" i="9"/>
  <c r="P100" i="9"/>
  <c r="Q101" i="9"/>
  <c r="Q102" i="9"/>
  <c r="P101" i="9"/>
  <c r="N102" i="9"/>
  <c r="P102" i="9"/>
  <c r="O100" i="9"/>
  <c r="O101" i="9"/>
  <c r="N101" i="9"/>
  <c r="O102" i="9"/>
  <c r="N99" i="9"/>
  <c r="N100" i="9"/>
  <c r="AH99" i="9"/>
  <c r="AH92" i="9"/>
  <c r="AG102" i="9"/>
  <c r="AE93" i="9"/>
  <c r="AG103" i="9"/>
  <c r="AE100" i="9"/>
  <c r="AH100" i="9"/>
  <c r="AH93" i="9"/>
  <c r="AE94" i="9"/>
  <c r="AH102" i="9"/>
  <c r="AH94" i="9"/>
  <c r="AG104" i="9"/>
  <c r="AE95" i="9"/>
  <c r="AF93" i="9"/>
  <c r="AH98" i="9"/>
  <c r="AI95" i="9"/>
  <c r="AH103" i="9"/>
  <c r="AH95" i="9"/>
  <c r="AF92" i="9"/>
  <c r="AE96" i="9"/>
  <c r="AE97" i="9"/>
  <c r="AF95" i="9"/>
  <c r="AF96" i="9"/>
  <c r="AH104" i="9"/>
  <c r="AH96" i="9"/>
  <c r="AI94" i="9"/>
  <c r="AG92" i="9"/>
  <c r="AI93" i="9"/>
  <c r="AH97" i="9"/>
  <c r="AF94" i="9"/>
  <c r="AE98" i="9"/>
  <c r="AE99" i="9"/>
  <c r="AI98" i="9"/>
  <c r="AG95" i="9"/>
  <c r="AF99" i="9"/>
  <c r="AF103" i="9"/>
  <c r="AI103" i="9"/>
  <c r="AI99" i="9"/>
  <c r="AG96" i="9"/>
  <c r="AF100" i="9"/>
  <c r="AG97" i="9"/>
  <c r="AG98" i="9"/>
  <c r="AG99" i="9"/>
  <c r="AI100" i="9"/>
  <c r="AF102" i="9"/>
  <c r="AI102" i="9"/>
  <c r="AE91" i="9"/>
  <c r="AI96" i="9"/>
  <c r="AI97" i="9"/>
  <c r="AI104" i="9"/>
  <c r="AG94" i="9"/>
  <c r="AF97" i="9"/>
  <c r="AE92" i="9"/>
  <c r="AG93" i="9"/>
  <c r="AG100" i="9"/>
  <c r="AF98" i="9"/>
  <c r="D221" i="1"/>
  <c r="D31" i="1"/>
  <c r="O25" i="9"/>
  <c r="AA25" i="9" s="1"/>
  <c r="N33" i="9"/>
  <c r="Z33" i="9" s="1"/>
  <c r="V4" i="10"/>
  <c r="V35" i="10"/>
  <c r="W35" i="10"/>
  <c r="N35" i="10"/>
  <c r="M35" i="10"/>
  <c r="M143" i="9"/>
  <c r="P143" i="9"/>
  <c r="AI143" i="9"/>
  <c r="Q143" i="9"/>
  <c r="O143" i="9"/>
  <c r="AG143" i="9"/>
  <c r="AE143" i="9"/>
  <c r="AF143" i="9"/>
  <c r="N143" i="9"/>
  <c r="AH143" i="9"/>
  <c r="Q154" i="9"/>
  <c r="AI90" i="9"/>
  <c r="AU90" i="9" s="1"/>
  <c r="AH90" i="9"/>
  <c r="AT90" i="9" s="1"/>
  <c r="AG90" i="9"/>
  <c r="AS90" i="9" s="1"/>
  <c r="AF90" i="9"/>
  <c r="AR90" i="9" s="1"/>
  <c r="N154" i="9"/>
  <c r="AE90" i="9"/>
  <c r="AQ90" i="9" s="1"/>
  <c r="Q90" i="9"/>
  <c r="AC90" i="9" s="1"/>
  <c r="M154" i="9"/>
  <c r="P90" i="9"/>
  <c r="AB90" i="9" s="1"/>
  <c r="O90" i="9"/>
  <c r="AA90" i="9" s="1"/>
  <c r="N90" i="9"/>
  <c r="Z90" i="9" s="1"/>
  <c r="M90" i="9"/>
  <c r="N89" i="9"/>
  <c r="O154" i="9"/>
  <c r="Q89" i="9"/>
  <c r="P89" i="9"/>
  <c r="O89" i="9"/>
  <c r="M89" i="9"/>
  <c r="P154" i="9"/>
  <c r="R65" i="6"/>
  <c r="R64" i="6"/>
  <c r="AI60" i="9"/>
  <c r="AU60" i="9" s="1"/>
  <c r="O60" i="9"/>
  <c r="AA60" i="9" s="1"/>
  <c r="O34" i="9"/>
  <c r="AE33" i="9"/>
  <c r="AQ33" i="9" s="1"/>
  <c r="M60" i="9"/>
  <c r="AH60" i="9"/>
  <c r="AT60" i="9" s="1"/>
  <c r="N60" i="9"/>
  <c r="Z60" i="9" s="1"/>
  <c r="N34" i="9"/>
  <c r="Q61" i="9"/>
  <c r="AG60" i="9"/>
  <c r="AS60" i="9" s="1"/>
  <c r="P61" i="9"/>
  <c r="AF60" i="9"/>
  <c r="AR60" i="9" s="1"/>
  <c r="Q33" i="9"/>
  <c r="AC33" i="9" s="1"/>
  <c r="P33" i="9"/>
  <c r="AB33" i="9" s="1"/>
  <c r="P34" i="9"/>
  <c r="O61" i="9"/>
  <c r="AA61" i="9" s="1"/>
  <c r="AE60" i="9"/>
  <c r="AQ60" i="9" s="1"/>
  <c r="AI33" i="9"/>
  <c r="AU33" i="9" s="1"/>
  <c r="M33" i="9"/>
  <c r="N61" i="9"/>
  <c r="AH33" i="9"/>
  <c r="AT33" i="9" s="1"/>
  <c r="O33" i="9"/>
  <c r="AA33" i="9" s="1"/>
  <c r="P60" i="9"/>
  <c r="AB60" i="9" s="1"/>
  <c r="M34" i="9"/>
  <c r="M61" i="9"/>
  <c r="Q60" i="9"/>
  <c r="AC60" i="9" s="1"/>
  <c r="Q34" i="9"/>
  <c r="AG33" i="9"/>
  <c r="AS33" i="9" s="1"/>
  <c r="AF33" i="9"/>
  <c r="AR33" i="9" s="1"/>
  <c r="N32" i="9"/>
  <c r="Z32" i="9" s="1"/>
  <c r="F139" i="6"/>
  <c r="F118" i="6"/>
  <c r="F113" i="6"/>
  <c r="E139" i="6"/>
  <c r="E118" i="6"/>
  <c r="E113" i="6"/>
  <c r="D139" i="6"/>
  <c r="M132" i="6"/>
  <c r="E132" i="6"/>
  <c r="L132" i="6"/>
  <c r="D132" i="6"/>
  <c r="K132" i="6"/>
  <c r="J132" i="6"/>
  <c r="I132" i="6"/>
  <c r="H132" i="6"/>
  <c r="O132" i="6"/>
  <c r="G132" i="6"/>
  <c r="N132" i="6"/>
  <c r="F132" i="6"/>
  <c r="H111" i="1"/>
  <c r="A98" i="20"/>
  <c r="A97" i="20"/>
  <c r="J125" i="1"/>
  <c r="J117" i="1"/>
  <c r="H114" i="1"/>
  <c r="F111" i="1"/>
  <c r="H110" i="20"/>
  <c r="W50" i="10"/>
  <c r="N50" i="10"/>
  <c r="V50" i="10"/>
  <c r="AO25" i="9"/>
  <c r="AO81" i="9"/>
  <c r="N46" i="10"/>
  <c r="M46" i="10"/>
  <c r="W46" i="10"/>
  <c r="V46" i="10"/>
  <c r="V49" i="10"/>
  <c r="M49" i="10"/>
  <c r="W49" i="10"/>
  <c r="N49" i="10"/>
  <c r="AO11" i="9"/>
  <c r="AO13" i="9"/>
  <c r="AO19" i="9"/>
  <c r="AO9" i="9"/>
  <c r="AO22" i="9"/>
  <c r="AO20" i="9"/>
  <c r="AO6" i="9"/>
  <c r="AO12" i="9"/>
  <c r="AO18" i="9"/>
  <c r="AO14" i="9"/>
  <c r="AO24" i="9"/>
  <c r="AO16" i="9"/>
  <c r="AO21" i="9"/>
  <c r="AO23" i="9"/>
  <c r="AO7" i="9"/>
  <c r="AO10" i="9"/>
  <c r="AO15" i="9"/>
  <c r="AO17" i="9"/>
  <c r="AO8" i="9"/>
  <c r="AO5" i="9"/>
  <c r="AN9" i="9"/>
  <c r="AN22" i="9"/>
  <c r="AN20" i="9"/>
  <c r="AN6" i="9"/>
  <c r="AN12" i="9"/>
  <c r="AN18" i="9"/>
  <c r="AN14" i="9"/>
  <c r="AN24" i="9"/>
  <c r="AN4" i="9"/>
  <c r="AN16" i="9"/>
  <c r="AN21" i="9"/>
  <c r="AN23" i="9"/>
  <c r="AN5" i="9"/>
  <c r="AN8" i="9"/>
  <c r="AN11" i="9"/>
  <c r="AN13" i="9"/>
  <c r="AN19" i="9"/>
  <c r="AN25" i="9"/>
  <c r="AN7" i="9"/>
  <c r="AN17" i="9"/>
  <c r="AN10" i="9"/>
  <c r="AN15" i="9"/>
  <c r="AM20" i="9"/>
  <c r="AM6" i="9"/>
  <c r="AM12" i="9"/>
  <c r="AM18" i="9"/>
  <c r="AM14" i="9"/>
  <c r="AM24" i="9"/>
  <c r="AM16" i="9"/>
  <c r="AM21" i="9"/>
  <c r="AM23" i="9"/>
  <c r="AM5" i="9"/>
  <c r="AM8" i="9"/>
  <c r="AM7" i="9"/>
  <c r="AM10" i="9"/>
  <c r="AM15" i="9"/>
  <c r="AM17" i="9"/>
  <c r="AM4" i="9"/>
  <c r="AM9" i="9"/>
  <c r="AM22" i="9"/>
  <c r="AM11" i="9"/>
  <c r="AM13" i="9"/>
  <c r="AM19" i="9"/>
  <c r="AM25" i="9"/>
  <c r="AK6" i="9"/>
  <c r="AK12" i="9"/>
  <c r="AK18" i="9"/>
  <c r="AK14" i="9"/>
  <c r="AK24" i="9"/>
  <c r="AK16" i="9"/>
  <c r="AK21" i="9"/>
  <c r="AK23" i="9"/>
  <c r="AK5" i="9"/>
  <c r="AK8" i="9"/>
  <c r="AK7" i="9"/>
  <c r="AK10" i="9"/>
  <c r="AK15" i="9"/>
  <c r="AK17" i="9"/>
  <c r="AK11" i="9"/>
  <c r="AK13" i="9"/>
  <c r="AK19" i="9"/>
  <c r="AK25" i="9"/>
  <c r="AK20" i="9"/>
  <c r="AK22" i="9"/>
  <c r="AK4" i="9"/>
  <c r="AK9" i="9"/>
  <c r="AL76" i="9"/>
  <c r="AL50" i="9"/>
  <c r="AL97" i="9"/>
  <c r="AR97" i="9" s="1"/>
  <c r="O91" i="6"/>
  <c r="G91" i="6"/>
  <c r="F91" i="6"/>
  <c r="M91" i="6"/>
  <c r="E91" i="6"/>
  <c r="N91" i="6"/>
  <c r="L91" i="6"/>
  <c r="D91" i="6"/>
  <c r="H91" i="6"/>
  <c r="K91" i="6"/>
  <c r="J91" i="6"/>
  <c r="I91" i="6"/>
  <c r="E118" i="1"/>
  <c r="G107" i="6"/>
  <c r="V47" i="10"/>
  <c r="V45" i="10"/>
  <c r="W45" i="10"/>
  <c r="W47" i="10"/>
  <c r="M107" i="6"/>
  <c r="E107" i="6"/>
  <c r="E102" i="6"/>
  <c r="L107" i="6"/>
  <c r="L102" i="6"/>
  <c r="D102" i="6"/>
  <c r="J107" i="6"/>
  <c r="R45" i="6"/>
  <c r="AL143" i="9"/>
  <c r="AL78" i="9" s="1"/>
  <c r="N107" i="6"/>
  <c r="N102" i="6"/>
  <c r="I107" i="6"/>
  <c r="O107" i="6"/>
  <c r="F107" i="6"/>
  <c r="F102" i="6"/>
  <c r="K107" i="6"/>
  <c r="K102" i="6"/>
  <c r="H107" i="6"/>
  <c r="R90" i="20"/>
  <c r="AO129" i="9"/>
  <c r="AK129" i="9"/>
  <c r="AM129" i="9"/>
  <c r="AN129" i="9"/>
  <c r="M47" i="10"/>
  <c r="N44" i="10"/>
  <c r="AB44" i="10" s="1"/>
  <c r="AH44" i="10" s="1"/>
  <c r="N47" i="10"/>
  <c r="M45" i="10"/>
  <c r="N45" i="10"/>
  <c r="M44" i="10"/>
  <c r="AA44" i="10" s="1"/>
  <c r="AG44" i="10" s="1"/>
  <c r="V44" i="10"/>
  <c r="W44" i="10"/>
  <c r="E28" i="14"/>
  <c r="E38" i="14" s="1"/>
  <c r="AL121" i="9"/>
  <c r="AL85" i="9"/>
  <c r="AL71" i="9"/>
  <c r="AL46" i="9"/>
  <c r="AN148" i="9"/>
  <c r="AN147" i="9"/>
  <c r="AM148" i="9"/>
  <c r="AM147" i="9"/>
  <c r="AO148" i="9"/>
  <c r="AO147" i="9"/>
  <c r="AK148" i="9"/>
  <c r="AK147" i="9"/>
  <c r="AK91" i="9"/>
  <c r="AK96" i="9"/>
  <c r="M50" i="10"/>
  <c r="W43" i="10"/>
  <c r="M43" i="10"/>
  <c r="AA43" i="10" s="1"/>
  <c r="W48" i="10"/>
  <c r="W42" i="10"/>
  <c r="M41" i="10"/>
  <c r="N43" i="10"/>
  <c r="M42" i="10"/>
  <c r="N48" i="10"/>
  <c r="V43" i="10"/>
  <c r="W41" i="10"/>
  <c r="N41" i="10"/>
  <c r="M48" i="10"/>
  <c r="N42" i="10"/>
  <c r="V41" i="10"/>
  <c r="V48" i="10"/>
  <c r="V42" i="10"/>
  <c r="V31" i="10"/>
  <c r="M31" i="10"/>
  <c r="W31" i="10"/>
  <c r="N31" i="10"/>
  <c r="F86" i="20"/>
  <c r="E86" i="20" s="1"/>
  <c r="F87" i="20"/>
  <c r="H15" i="20"/>
  <c r="E15" i="20"/>
  <c r="E111" i="20"/>
  <c r="U111" i="20" s="1"/>
  <c r="AM78" i="9"/>
  <c r="AM121" i="9"/>
  <c r="AO78" i="9"/>
  <c r="AO121" i="9"/>
  <c r="AK78" i="9"/>
  <c r="AK94" i="9"/>
  <c r="AK121" i="9"/>
  <c r="AN78" i="9"/>
  <c r="AN121" i="9"/>
  <c r="M18" i="10"/>
  <c r="N53" i="10"/>
  <c r="AO51" i="9"/>
  <c r="AO76" i="9"/>
  <c r="AK51" i="9"/>
  <c r="AK76" i="9"/>
  <c r="AM51" i="9"/>
  <c r="AM76" i="9"/>
  <c r="AN51" i="9"/>
  <c r="AN76" i="9"/>
  <c r="AO127" i="9"/>
  <c r="AO122" i="9"/>
  <c r="AK127" i="9"/>
  <c r="AK122" i="9"/>
  <c r="AM127" i="9"/>
  <c r="AM122" i="9"/>
  <c r="AN127" i="9"/>
  <c r="AN122" i="9"/>
  <c r="D50" i="14"/>
  <c r="AM77" i="9"/>
  <c r="AO77" i="9"/>
  <c r="AK77" i="9"/>
  <c r="AN77" i="9"/>
  <c r="AN70" i="9"/>
  <c r="AN73" i="9"/>
  <c r="AM70" i="9"/>
  <c r="AM73" i="9"/>
  <c r="AO70" i="9"/>
  <c r="AO73" i="9"/>
  <c r="AK70" i="9"/>
  <c r="AK73" i="9"/>
  <c r="AM64" i="9"/>
  <c r="AM67" i="9"/>
  <c r="AO64" i="9"/>
  <c r="AO67" i="9"/>
  <c r="AK64" i="9"/>
  <c r="AK67" i="9"/>
  <c r="AN64" i="9"/>
  <c r="AN67" i="9"/>
  <c r="AO48" i="9"/>
  <c r="AO125" i="9"/>
  <c r="AK48" i="9"/>
  <c r="AK125" i="9"/>
  <c r="AM125" i="9"/>
  <c r="AN48" i="9"/>
  <c r="AN125" i="9"/>
  <c r="AM45" i="9"/>
  <c r="AM48" i="9"/>
  <c r="AO40" i="9"/>
  <c r="AO45" i="9"/>
  <c r="AK40" i="9"/>
  <c r="AK45" i="9"/>
  <c r="AN40" i="9"/>
  <c r="AN45" i="9"/>
  <c r="AM37" i="9"/>
  <c r="AM40" i="9"/>
  <c r="AO123" i="9"/>
  <c r="AO37" i="9"/>
  <c r="AK123" i="9"/>
  <c r="AK37" i="9"/>
  <c r="AN123" i="9"/>
  <c r="AN37" i="9"/>
  <c r="AM123" i="9"/>
  <c r="I42" i="14"/>
  <c r="I41" i="14"/>
  <c r="N4" i="10"/>
  <c r="R71" i="20"/>
  <c r="M19" i="10"/>
  <c r="M26" i="10"/>
  <c r="V40" i="10"/>
  <c r="V38" i="10"/>
  <c r="V33" i="10"/>
  <c r="W39" i="10"/>
  <c r="W37" i="10"/>
  <c r="W32" i="10"/>
  <c r="V37" i="10"/>
  <c r="V32" i="10"/>
  <c r="W40" i="10"/>
  <c r="W38" i="10"/>
  <c r="W36" i="10"/>
  <c r="W33" i="10"/>
  <c r="W30" i="10"/>
  <c r="V36" i="10"/>
  <c r="V30" i="10"/>
  <c r="W34" i="10"/>
  <c r="W29" i="10"/>
  <c r="V39" i="10"/>
  <c r="V34" i="10"/>
  <c r="V29" i="10"/>
  <c r="AN151" i="9"/>
  <c r="AN128" i="9"/>
  <c r="AO128" i="9"/>
  <c r="AO151" i="9"/>
  <c r="AK128" i="9"/>
  <c r="AK92" i="9"/>
  <c r="AK97" i="9"/>
  <c r="AQ97" i="9" s="1"/>
  <c r="AK95" i="9"/>
  <c r="AK151" i="9"/>
  <c r="AM128" i="9"/>
  <c r="AM151" i="9"/>
  <c r="C198" i="1"/>
  <c r="D29" i="14"/>
  <c r="D39" i="14" s="1"/>
  <c r="M15" i="10"/>
  <c r="M52" i="10"/>
  <c r="AA52" i="10" s="1"/>
  <c r="AG52" i="10" s="1"/>
  <c r="M11" i="10"/>
  <c r="M30" i="10"/>
  <c r="M33" i="10"/>
  <c r="M36" i="10"/>
  <c r="M38" i="10"/>
  <c r="M40" i="10"/>
  <c r="N29" i="10"/>
  <c r="M34" i="10"/>
  <c r="M37" i="10"/>
  <c r="N33" i="10"/>
  <c r="N38" i="10"/>
  <c r="M29" i="10"/>
  <c r="N32" i="10"/>
  <c r="N34" i="10"/>
  <c r="N37" i="10"/>
  <c r="N39" i="10"/>
  <c r="M32" i="10"/>
  <c r="M39" i="10"/>
  <c r="N30" i="10"/>
  <c r="N36" i="10"/>
  <c r="N40" i="10"/>
  <c r="M10" i="10"/>
  <c r="N28" i="10"/>
  <c r="AB28" i="10" s="1"/>
  <c r="M4" i="10"/>
  <c r="M25" i="10"/>
  <c r="AA25" i="10" s="1"/>
  <c r="M7" i="10"/>
  <c r="M22" i="10"/>
  <c r="M8" i="10"/>
  <c r="M23" i="10"/>
  <c r="AA23" i="10" s="1"/>
  <c r="N10" i="10"/>
  <c r="AB10" i="10" s="1"/>
  <c r="N18" i="10"/>
  <c r="AB18" i="10" s="1"/>
  <c r="N25" i="10"/>
  <c r="AB25" i="10" s="1"/>
  <c r="N52" i="10"/>
  <c r="M6" i="10"/>
  <c r="M14" i="10"/>
  <c r="AA100" i="10"/>
  <c r="M28" i="10"/>
  <c r="AA28" i="10" s="1"/>
  <c r="S99" i="10"/>
  <c r="M9" i="10"/>
  <c r="M13" i="10"/>
  <c r="M17" i="10"/>
  <c r="M21" i="10"/>
  <c r="M24" i="10"/>
  <c r="S102" i="10"/>
  <c r="N51" i="10"/>
  <c r="M16" i="10"/>
  <c r="M51" i="10"/>
  <c r="AA51" i="10" s="1"/>
  <c r="AG51" i="10" s="1"/>
  <c r="N6" i="10"/>
  <c r="N14" i="10"/>
  <c r="AB14" i="10" s="1"/>
  <c r="AB100" i="10"/>
  <c r="AA103" i="10"/>
  <c r="M5" i="10"/>
  <c r="AA5" i="10" s="1"/>
  <c r="M12" i="10"/>
  <c r="M20" i="10"/>
  <c r="AA101" i="10"/>
  <c r="M53" i="10"/>
  <c r="AA53" i="10" s="1"/>
  <c r="AG53" i="10" s="1"/>
  <c r="N5" i="10"/>
  <c r="AB5" i="10" s="1"/>
  <c r="N8" i="10"/>
  <c r="AB8" i="10" s="1"/>
  <c r="N12" i="10"/>
  <c r="AB12" i="10" s="1"/>
  <c r="N16" i="10"/>
  <c r="AB16" i="10" s="1"/>
  <c r="N20" i="10"/>
  <c r="AB20" i="10" s="1"/>
  <c r="N23" i="10"/>
  <c r="AB23" i="10" s="1"/>
  <c r="AB101" i="10"/>
  <c r="E36" i="14"/>
  <c r="AN145" i="9"/>
  <c r="AN146" i="9"/>
  <c r="AO145" i="9"/>
  <c r="AO146" i="9"/>
  <c r="AK145" i="9"/>
  <c r="AK146" i="9"/>
  <c r="AM146" i="9"/>
  <c r="AM145" i="9"/>
  <c r="AO36" i="9"/>
  <c r="AO39" i="9"/>
  <c r="AO42" i="9"/>
  <c r="AO44" i="9"/>
  <c r="AO47" i="9"/>
  <c r="AO142" i="9"/>
  <c r="AO50" i="9"/>
  <c r="AO53" i="9"/>
  <c r="AO55" i="9"/>
  <c r="AO144" i="9"/>
  <c r="AO124" i="9"/>
  <c r="AO63" i="9"/>
  <c r="AO66" i="9"/>
  <c r="AO69" i="9"/>
  <c r="AO72" i="9"/>
  <c r="AO75" i="9"/>
  <c r="AU75" i="9" s="1"/>
  <c r="AK36" i="9"/>
  <c r="AK39" i="9"/>
  <c r="AK42" i="9"/>
  <c r="AK44" i="9"/>
  <c r="AK47" i="9"/>
  <c r="AK142" i="9"/>
  <c r="AK50" i="9"/>
  <c r="AK53" i="9"/>
  <c r="AK55" i="9"/>
  <c r="AK144" i="9"/>
  <c r="AK124" i="9"/>
  <c r="AK63" i="9"/>
  <c r="AK66" i="9"/>
  <c r="AK69" i="9"/>
  <c r="AK72" i="9"/>
  <c r="AK75" i="9"/>
  <c r="AQ75" i="9" s="1"/>
  <c r="AN36" i="9"/>
  <c r="AN39" i="9"/>
  <c r="AN44" i="9"/>
  <c r="AN142" i="9"/>
  <c r="AN53" i="9"/>
  <c r="AN144" i="9"/>
  <c r="AN63" i="9"/>
  <c r="AN69" i="9"/>
  <c r="AN75" i="9"/>
  <c r="AT75" i="9" s="1"/>
  <c r="AN42" i="9"/>
  <c r="AN47" i="9"/>
  <c r="AN50" i="9"/>
  <c r="AN55" i="9"/>
  <c r="AN124" i="9"/>
  <c r="AN66" i="9"/>
  <c r="AN72" i="9"/>
  <c r="AM39" i="9"/>
  <c r="AM44" i="9"/>
  <c r="AM142" i="9"/>
  <c r="AM53" i="9"/>
  <c r="AM144" i="9"/>
  <c r="AM63" i="9"/>
  <c r="AM69" i="9"/>
  <c r="AM75" i="9"/>
  <c r="AS75" i="9" s="1"/>
  <c r="AM36" i="9"/>
  <c r="AM42" i="9"/>
  <c r="AM47" i="9"/>
  <c r="AM50" i="9"/>
  <c r="AM55" i="9"/>
  <c r="AM124" i="9"/>
  <c r="AM66" i="9"/>
  <c r="AM72" i="9"/>
  <c r="E70" i="20"/>
  <c r="E82" i="20"/>
  <c r="U82" i="20" s="1"/>
  <c r="F13" i="20"/>
  <c r="K36" i="14"/>
  <c r="M108" i="20" s="1"/>
  <c r="C119" i="1"/>
  <c r="D28" i="14"/>
  <c r="D38" i="14" s="1"/>
  <c r="D36" i="14"/>
  <c r="M13" i="20" s="1"/>
  <c r="K50" i="14"/>
  <c r="G50" i="14"/>
  <c r="D230" i="1"/>
  <c r="D222" i="1"/>
  <c r="D223" i="1"/>
  <c r="AN30" i="9"/>
  <c r="AN41" i="9"/>
  <c r="AN115" i="9"/>
  <c r="AN117" i="9"/>
  <c r="AN68" i="9"/>
  <c r="AN119" i="9"/>
  <c r="AN86" i="9"/>
  <c r="AN126" i="9"/>
  <c r="AN46" i="9"/>
  <c r="AN62" i="9"/>
  <c r="AN84" i="9"/>
  <c r="AN29" i="9"/>
  <c r="AN38" i="9"/>
  <c r="AN49" i="9"/>
  <c r="AN54" i="9"/>
  <c r="AN58" i="9"/>
  <c r="AN65" i="9"/>
  <c r="AN74" i="9"/>
  <c r="AN82" i="9"/>
  <c r="AN85" i="9"/>
  <c r="AN120" i="9"/>
  <c r="AN35" i="9"/>
  <c r="AN130" i="9"/>
  <c r="AN118" i="9"/>
  <c r="AN32" i="9"/>
  <c r="AN43" i="9"/>
  <c r="AN52" i="9"/>
  <c r="AN57" i="9"/>
  <c r="AN59" i="9"/>
  <c r="AN71" i="9"/>
  <c r="AN153" i="9"/>
  <c r="AN83" i="9"/>
  <c r="AN114" i="9"/>
  <c r="AN80" i="9"/>
  <c r="AO30" i="9"/>
  <c r="AO41" i="9"/>
  <c r="AO115" i="9"/>
  <c r="AO117" i="9"/>
  <c r="AO119" i="9"/>
  <c r="AO126" i="9"/>
  <c r="AO46" i="9"/>
  <c r="AO80" i="9"/>
  <c r="AO29" i="9"/>
  <c r="AO38" i="9"/>
  <c r="AO49" i="9"/>
  <c r="AO54" i="9"/>
  <c r="AO58" i="9"/>
  <c r="AO65" i="9"/>
  <c r="AO74" i="9"/>
  <c r="AO82" i="9"/>
  <c r="AO120" i="9"/>
  <c r="AO35" i="9"/>
  <c r="AO114" i="9"/>
  <c r="AO62" i="9"/>
  <c r="AO84" i="9"/>
  <c r="AO32" i="9"/>
  <c r="AO43" i="9"/>
  <c r="AO52" i="9"/>
  <c r="AO57" i="9"/>
  <c r="AO59" i="9"/>
  <c r="AO71" i="9"/>
  <c r="AO153" i="9"/>
  <c r="AO83" i="9"/>
  <c r="AO28" i="9"/>
  <c r="AO130" i="9"/>
  <c r="AO118" i="9"/>
  <c r="AK29" i="9"/>
  <c r="AK38" i="9"/>
  <c r="AK49" i="9"/>
  <c r="AK54" i="9"/>
  <c r="AK58" i="9"/>
  <c r="AK65" i="9"/>
  <c r="AK74" i="9"/>
  <c r="AK82" i="9"/>
  <c r="AK85" i="9"/>
  <c r="AK120" i="9"/>
  <c r="AK32" i="9"/>
  <c r="AK57" i="9"/>
  <c r="AK153" i="9"/>
  <c r="AK28" i="9"/>
  <c r="AK35" i="9"/>
  <c r="AK46" i="9"/>
  <c r="AK130" i="9"/>
  <c r="AK114" i="9"/>
  <c r="AK62" i="9"/>
  <c r="AK118" i="9"/>
  <c r="AK80" i="9"/>
  <c r="AK84" i="9"/>
  <c r="AK88" i="9"/>
  <c r="AK93" i="9"/>
  <c r="AK52" i="9"/>
  <c r="AK59" i="9"/>
  <c r="AK83" i="9"/>
  <c r="AK30" i="9"/>
  <c r="AK41" i="9"/>
  <c r="AK115" i="9"/>
  <c r="AK117" i="9"/>
  <c r="AK68" i="9"/>
  <c r="AK119" i="9"/>
  <c r="AK86" i="9"/>
  <c r="AK126" i="9"/>
  <c r="AK98" i="9"/>
  <c r="AK43" i="9"/>
  <c r="AK71" i="9"/>
  <c r="AK87" i="9"/>
  <c r="AK99" i="9"/>
  <c r="AL82" i="9"/>
  <c r="AL54" i="9"/>
  <c r="AL58" i="9"/>
  <c r="AL52" i="9"/>
  <c r="AL80" i="9"/>
  <c r="AL130" i="9"/>
  <c r="AL114" i="9"/>
  <c r="AL153" i="9"/>
  <c r="AL119" i="9"/>
  <c r="AL115" i="9"/>
  <c r="AL117" i="9"/>
  <c r="AL57" i="9"/>
  <c r="AM32" i="9"/>
  <c r="AM43" i="9"/>
  <c r="AM52" i="9"/>
  <c r="AM57" i="9"/>
  <c r="AM59" i="9"/>
  <c r="AM71" i="9"/>
  <c r="AM153" i="9"/>
  <c r="AM83" i="9"/>
  <c r="AM87" i="9"/>
  <c r="AM29" i="9"/>
  <c r="AM54" i="9"/>
  <c r="AM74" i="9"/>
  <c r="AM120" i="9"/>
  <c r="AM30" i="9"/>
  <c r="AM41" i="9"/>
  <c r="AM115" i="9"/>
  <c r="AM117" i="9"/>
  <c r="AM68" i="9"/>
  <c r="AM119" i="9"/>
  <c r="AM86" i="9"/>
  <c r="AM126" i="9"/>
  <c r="AM38" i="9"/>
  <c r="AM65" i="9"/>
  <c r="AM85" i="9"/>
  <c r="AM35" i="9"/>
  <c r="AM46" i="9"/>
  <c r="AM130" i="9"/>
  <c r="AM114" i="9"/>
  <c r="AM62" i="9"/>
  <c r="AM118" i="9"/>
  <c r="AM80" i="9"/>
  <c r="AM84" i="9"/>
  <c r="AM88" i="9"/>
  <c r="AM49" i="9"/>
  <c r="AM58" i="9"/>
  <c r="AM82" i="9"/>
  <c r="N70" i="20"/>
  <c r="J70" i="20" s="1"/>
  <c r="S70" i="20" s="1"/>
  <c r="Q70" i="20"/>
  <c r="I181" i="1"/>
  <c r="I53" i="14"/>
  <c r="N87" i="20"/>
  <c r="Q87" i="20"/>
  <c r="V53" i="10"/>
  <c r="V51" i="10"/>
  <c r="V28" i="10"/>
  <c r="V103" i="10"/>
  <c r="V101" i="10"/>
  <c r="V25" i="10"/>
  <c r="V23" i="10"/>
  <c r="V100" i="10"/>
  <c r="V20" i="10"/>
  <c r="V18" i="10"/>
  <c r="V16" i="10"/>
  <c r="V14" i="10"/>
  <c r="V12" i="10"/>
  <c r="V10" i="10"/>
  <c r="V8" i="10"/>
  <c r="V6" i="10"/>
  <c r="V5" i="10"/>
  <c r="W53" i="10"/>
  <c r="W51" i="10"/>
  <c r="W28" i="10"/>
  <c r="W103" i="10"/>
  <c r="W101" i="10"/>
  <c r="W25" i="10"/>
  <c r="W23" i="10"/>
  <c r="W100" i="10"/>
  <c r="W20" i="10"/>
  <c r="W18" i="10"/>
  <c r="W16" i="10"/>
  <c r="W14" i="10"/>
  <c r="W12" i="10"/>
  <c r="W10" i="10"/>
  <c r="W8" i="10"/>
  <c r="W6" i="10"/>
  <c r="W5" i="10"/>
  <c r="V52" i="10"/>
  <c r="V104" i="10"/>
  <c r="V27" i="10"/>
  <c r="V102" i="10"/>
  <c r="V26" i="10"/>
  <c r="V24" i="10"/>
  <c r="V22" i="10"/>
  <c r="V21" i="10"/>
  <c r="V19" i="10"/>
  <c r="V17" i="10"/>
  <c r="V15" i="10"/>
  <c r="V13" i="10"/>
  <c r="V11" i="10"/>
  <c r="V9" i="10"/>
  <c r="V7" i="10"/>
  <c r="V99" i="10"/>
  <c r="V98" i="10"/>
  <c r="W52" i="10"/>
  <c r="W104" i="10"/>
  <c r="W27" i="10"/>
  <c r="W102" i="10"/>
  <c r="W26" i="10"/>
  <c r="W24" i="10"/>
  <c r="W22" i="10"/>
  <c r="W21" i="10"/>
  <c r="W19" i="10"/>
  <c r="W17" i="10"/>
  <c r="W15" i="10"/>
  <c r="W13" i="10"/>
  <c r="W11" i="10"/>
  <c r="W9" i="10"/>
  <c r="W7" i="10"/>
  <c r="W99" i="10"/>
  <c r="W4" i="10"/>
  <c r="W98" i="10"/>
  <c r="AD5" i="10"/>
  <c r="AD12" i="10"/>
  <c r="AD37" i="10" s="1"/>
  <c r="AD16" i="10"/>
  <c r="AD23" i="10"/>
  <c r="AD101" i="10"/>
  <c r="AD28" i="10"/>
  <c r="AD11" i="10" s="1"/>
  <c r="AD50" i="10" s="1"/>
  <c r="AD14" i="10"/>
  <c r="AD32" i="10" s="1"/>
  <c r="AD100" i="10"/>
  <c r="AD103" i="10"/>
  <c r="AD99" i="10"/>
  <c r="AD17" i="10"/>
  <c r="AD24" i="10"/>
  <c r="AD104" i="10"/>
  <c r="AD7" i="10"/>
  <c r="AD9" i="10" s="1"/>
  <c r="AD15" i="10"/>
  <c r="AD38" i="10" s="1"/>
  <c r="AD22" i="10"/>
  <c r="AD26" i="10"/>
  <c r="AD98" i="10"/>
  <c r="AD6" i="10"/>
  <c r="AD18" i="10"/>
  <c r="AD25" i="10"/>
  <c r="AD13" i="10"/>
  <c r="AD36" i="10" s="1"/>
  <c r="AD102" i="10"/>
  <c r="AN105" i="9"/>
  <c r="AN109" i="9"/>
  <c r="AN113" i="9"/>
  <c r="AN131" i="9"/>
  <c r="AN135" i="9"/>
  <c r="AN139" i="9"/>
  <c r="AN26" i="9"/>
  <c r="AN108" i="9"/>
  <c r="AN112" i="9"/>
  <c r="AN134" i="9"/>
  <c r="AN138" i="9"/>
  <c r="AN31" i="9"/>
  <c r="AN28" i="9"/>
  <c r="AN107" i="9"/>
  <c r="AN116" i="9"/>
  <c r="AN133" i="9"/>
  <c r="AN137" i="9"/>
  <c r="AN141" i="9"/>
  <c r="AN152" i="9"/>
  <c r="AN106" i="9"/>
  <c r="AN110" i="9"/>
  <c r="AN132" i="9"/>
  <c r="AN136" i="9"/>
  <c r="AN140" i="9"/>
  <c r="AN27" i="9"/>
  <c r="AO108" i="9"/>
  <c r="AO112" i="9"/>
  <c r="AO134" i="9"/>
  <c r="AO138" i="9"/>
  <c r="AO31" i="9"/>
  <c r="AO107" i="9"/>
  <c r="AO116" i="9"/>
  <c r="AO133" i="9"/>
  <c r="AO137" i="9"/>
  <c r="AO141" i="9"/>
  <c r="AO152" i="9"/>
  <c r="AO106" i="9"/>
  <c r="AO110" i="9"/>
  <c r="AO132" i="9"/>
  <c r="AO136" i="9"/>
  <c r="AO140" i="9"/>
  <c r="AO27" i="9"/>
  <c r="AO105" i="9"/>
  <c r="AO109" i="9"/>
  <c r="AO113" i="9"/>
  <c r="AO131" i="9"/>
  <c r="AO135" i="9"/>
  <c r="AO139" i="9"/>
  <c r="AO26" i="9"/>
  <c r="AK108" i="9"/>
  <c r="AK112" i="9"/>
  <c r="AK134" i="9"/>
  <c r="AK138" i="9"/>
  <c r="AK31" i="9"/>
  <c r="AK104" i="9"/>
  <c r="AK116" i="9"/>
  <c r="AK133" i="9"/>
  <c r="AK137" i="9"/>
  <c r="AK141" i="9"/>
  <c r="AK152" i="9"/>
  <c r="AK106" i="9"/>
  <c r="AK110" i="9"/>
  <c r="AK132" i="9"/>
  <c r="AK136" i="9"/>
  <c r="AK140" i="9"/>
  <c r="AK27" i="9"/>
  <c r="AK100" i="9"/>
  <c r="AK105" i="9"/>
  <c r="AK109" i="9"/>
  <c r="AK113" i="9"/>
  <c r="AK131" i="9"/>
  <c r="AK135" i="9"/>
  <c r="AK139" i="9"/>
  <c r="AK26" i="9"/>
  <c r="AL107" i="9"/>
  <c r="AL116" i="9"/>
  <c r="AL133" i="9"/>
  <c r="AL137" i="9"/>
  <c r="AL141" i="9"/>
  <c r="AL152" i="9"/>
  <c r="AL43" i="9"/>
  <c r="AL65" i="9"/>
  <c r="AL106" i="9"/>
  <c r="AL110" i="9"/>
  <c r="AL132" i="9"/>
  <c r="AL136" i="9"/>
  <c r="AL140" i="9"/>
  <c r="AL27" i="9"/>
  <c r="AL30" i="9"/>
  <c r="AL41" i="9"/>
  <c r="AL62" i="9"/>
  <c r="AL118" i="9"/>
  <c r="AL84" i="9"/>
  <c r="AL88" i="9"/>
  <c r="AL100" i="9"/>
  <c r="AL105" i="9"/>
  <c r="AL109" i="9"/>
  <c r="AL131" i="9"/>
  <c r="AL135" i="9"/>
  <c r="AL139" i="9"/>
  <c r="AL29" i="9"/>
  <c r="AL39" i="9"/>
  <c r="AL49" i="9"/>
  <c r="AL83" i="9"/>
  <c r="AL87" i="9"/>
  <c r="AL99" i="9"/>
  <c r="AL74" i="9"/>
  <c r="AL120" i="9"/>
  <c r="AL108" i="9"/>
  <c r="AL134" i="9"/>
  <c r="AL138" i="9"/>
  <c r="AL28" i="9"/>
  <c r="AL68" i="9"/>
  <c r="AL86" i="9"/>
  <c r="AL98" i="9"/>
  <c r="AM106" i="9"/>
  <c r="AM110" i="9"/>
  <c r="AM132" i="9"/>
  <c r="AM136" i="9"/>
  <c r="AM140" i="9"/>
  <c r="AM27" i="9"/>
  <c r="AM105" i="9"/>
  <c r="AM109" i="9"/>
  <c r="AM113" i="9"/>
  <c r="AM131" i="9"/>
  <c r="AM135" i="9"/>
  <c r="AM139" i="9"/>
  <c r="AM26" i="9"/>
  <c r="AM108" i="9"/>
  <c r="AM112" i="9"/>
  <c r="AM134" i="9"/>
  <c r="AM138" i="9"/>
  <c r="AM31" i="9"/>
  <c r="AM28" i="9"/>
  <c r="AM107" i="9"/>
  <c r="AM116" i="9"/>
  <c r="AM133" i="9"/>
  <c r="AM137" i="9"/>
  <c r="AM141" i="9"/>
  <c r="AM152" i="9"/>
  <c r="N39" i="20"/>
  <c r="Q39" i="20"/>
  <c r="I83" i="14"/>
  <c r="I86" i="14" s="1"/>
  <c r="J102" i="6"/>
  <c r="P72" i="6"/>
  <c r="F35" i="6"/>
  <c r="H35" i="6"/>
  <c r="I25" i="1"/>
  <c r="E66" i="20"/>
  <c r="U66" i="20" s="1"/>
  <c r="E87" i="20"/>
  <c r="E33" i="20"/>
  <c r="N86" i="20"/>
  <c r="Q86" i="20"/>
  <c r="E83" i="20"/>
  <c r="U83" i="20" s="1"/>
  <c r="E17" i="20"/>
  <c r="G118" i="1"/>
  <c r="P79" i="6"/>
  <c r="R50" i="6"/>
  <c r="R53" i="6"/>
  <c r="R57" i="6"/>
  <c r="R55" i="6"/>
  <c r="R58" i="6"/>
  <c r="R62" i="6"/>
  <c r="R61" i="6"/>
  <c r="R54" i="6"/>
  <c r="R48" i="6"/>
  <c r="R60" i="6"/>
  <c r="R59" i="6"/>
  <c r="R49" i="6"/>
  <c r="R51" i="6"/>
  <c r="R56" i="6"/>
  <c r="R46" i="6"/>
  <c r="R52" i="6"/>
  <c r="R47" i="6"/>
  <c r="R63" i="6"/>
  <c r="E35" i="20"/>
  <c r="M27" i="10"/>
  <c r="N27" i="10"/>
  <c r="G82" i="14"/>
  <c r="G85" i="14" s="1"/>
  <c r="E16" i="20"/>
  <c r="I125" i="1"/>
  <c r="E69" i="20"/>
  <c r="E36" i="20"/>
  <c r="E110" i="20"/>
  <c r="U110" i="20" s="1"/>
  <c r="M102" i="6"/>
  <c r="P88" i="6"/>
  <c r="P76" i="6"/>
  <c r="E67" i="20"/>
  <c r="U67" i="20" s="1"/>
  <c r="E108" i="20"/>
  <c r="E39" i="20"/>
  <c r="E112" i="20"/>
  <c r="U112" i="20" s="1"/>
  <c r="B110" i="1"/>
  <c r="G28" i="14"/>
  <c r="G38" i="14" s="1"/>
  <c r="R91" i="20"/>
  <c r="O59" i="1"/>
  <c r="K28" i="14"/>
  <c r="K38" i="14" s="1"/>
  <c r="G41" i="14"/>
  <c r="M69" i="20" s="1"/>
  <c r="P150" i="6"/>
  <c r="P146" i="6"/>
  <c r="P141" i="6"/>
  <c r="P138" i="6"/>
  <c r="P134" i="6"/>
  <c r="P81" i="6"/>
  <c r="P143" i="6"/>
  <c r="P142" i="6"/>
  <c r="P74" i="6"/>
  <c r="P136" i="6"/>
  <c r="P135" i="6"/>
  <c r="P149" i="6"/>
  <c r="P148" i="6"/>
  <c r="P147" i="6"/>
  <c r="P145" i="6"/>
  <c r="P144" i="6"/>
  <c r="P140" i="6"/>
  <c r="P137" i="6"/>
  <c r="P100" i="6"/>
  <c r="O102" i="6"/>
  <c r="I102" i="6"/>
  <c r="G102" i="6"/>
  <c r="P101" i="6"/>
  <c r="P84" i="6"/>
  <c r="K35" i="6"/>
  <c r="I102" i="14"/>
  <c r="H102" i="6"/>
  <c r="R89" i="20"/>
  <c r="P124" i="6"/>
  <c r="N35" i="6"/>
  <c r="L35" i="6"/>
  <c r="J35" i="6"/>
  <c r="I35" i="6"/>
  <c r="D25" i="1"/>
  <c r="L14" i="1"/>
  <c r="L17" i="1" s="1"/>
  <c r="L20" i="1" s="1"/>
  <c r="L23" i="1" s="1"/>
  <c r="E11" i="5"/>
  <c r="D18" i="1" s="1"/>
  <c r="B183" i="1"/>
  <c r="D14" i="1"/>
  <c r="D17" i="1" s="1"/>
  <c r="P80" i="6"/>
  <c r="P78" i="6"/>
  <c r="P77" i="6"/>
  <c r="P86" i="6"/>
  <c r="P85" i="6"/>
  <c r="G41" i="1"/>
  <c r="G53" i="14" s="1"/>
  <c r="P75" i="6"/>
  <c r="P73" i="6"/>
  <c r="P71" i="6"/>
  <c r="N22" i="10"/>
  <c r="N7" i="10"/>
  <c r="D33" i="1"/>
  <c r="K32" i="1"/>
  <c r="K14" i="1"/>
  <c r="K17" i="1" s="1"/>
  <c r="N35" i="20"/>
  <c r="K27" i="14"/>
  <c r="K37" i="14" s="1"/>
  <c r="P87" i="6"/>
  <c r="P83" i="6"/>
  <c r="B203" i="1"/>
  <c r="B163" i="1"/>
  <c r="B130" i="1"/>
  <c r="B150" i="1" s="1"/>
  <c r="P82" i="6"/>
  <c r="P125" i="6"/>
  <c r="N11" i="10"/>
  <c r="N13" i="10"/>
  <c r="N19" i="10"/>
  <c r="N21" i="10"/>
  <c r="N26" i="10"/>
  <c r="N24" i="10"/>
  <c r="N17" i="10"/>
  <c r="N15" i="10"/>
  <c r="N9" i="10"/>
  <c r="P70" i="6"/>
  <c r="D32" i="1"/>
  <c r="G72" i="14"/>
  <c r="C172" i="1"/>
  <c r="E72" i="14"/>
  <c r="D282" i="1"/>
  <c r="D277" i="1"/>
  <c r="G14" i="1"/>
  <c r="G32" i="1"/>
  <c r="C275" i="1"/>
  <c r="G114" i="1"/>
  <c r="C222" i="1"/>
  <c r="E222" i="1" s="1"/>
  <c r="D114" i="1"/>
  <c r="C241" i="1"/>
  <c r="C223" i="1"/>
  <c r="D115" i="1"/>
  <c r="C242" i="1"/>
  <c r="K113" i="1"/>
  <c r="G113" i="1"/>
  <c r="C274" i="1"/>
  <c r="K114" i="1"/>
  <c r="C221" i="1"/>
  <c r="E221" i="1" s="1"/>
  <c r="D113" i="1"/>
  <c r="J79" i="1"/>
  <c r="I64" i="1"/>
  <c r="H80" i="1"/>
  <c r="F87" i="1"/>
  <c r="K76" i="1"/>
  <c r="P151" i="6" l="1"/>
  <c r="I17" i="14"/>
  <c r="F84" i="20" s="1"/>
  <c r="D84" i="20"/>
  <c r="I76" i="14"/>
  <c r="I84" i="14" s="1"/>
  <c r="I87" i="14" s="1"/>
  <c r="I29" i="14" s="1"/>
  <c r="I39" i="14" s="1"/>
  <c r="P152" i="6"/>
  <c r="I133" i="6"/>
  <c r="P133" i="6" s="1"/>
  <c r="C11" i="44"/>
  <c r="C16" i="44"/>
  <c r="C27" i="44"/>
  <c r="C10" i="44"/>
  <c r="D27" i="44"/>
  <c r="D29" i="44"/>
  <c r="C15" i="44"/>
  <c r="U36" i="20"/>
  <c r="E55" i="20"/>
  <c r="U35" i="20"/>
  <c r="E60" i="20"/>
  <c r="E62" i="20"/>
  <c r="E54" i="20"/>
  <c r="E61" i="20"/>
  <c r="G9" i="44"/>
  <c r="G21" i="44" s="1"/>
  <c r="M26" i="20"/>
  <c r="M20" i="20"/>
  <c r="C17" i="44"/>
  <c r="C20" i="44" s="1"/>
  <c r="U17" i="20"/>
  <c r="E30" i="20"/>
  <c r="U15" i="20"/>
  <c r="E23" i="20"/>
  <c r="E28" i="20"/>
  <c r="E22" i="20"/>
  <c r="F20" i="20"/>
  <c r="E20" i="20" s="1"/>
  <c r="F26" i="20"/>
  <c r="E26" i="20" s="1"/>
  <c r="U16" i="20"/>
  <c r="E29" i="20"/>
  <c r="C13" i="44"/>
  <c r="C12" i="44"/>
  <c r="G13" i="44"/>
  <c r="E13" i="20"/>
  <c r="B9" i="44"/>
  <c r="D23" i="44"/>
  <c r="D24" i="44"/>
  <c r="D21" i="44"/>
  <c r="D18" i="44"/>
  <c r="D22" i="44"/>
  <c r="D19" i="44"/>
  <c r="D20" i="44"/>
  <c r="C23" i="44"/>
  <c r="AD21" i="10"/>
  <c r="AE21" i="10" s="1"/>
  <c r="AD20" i="10"/>
  <c r="AE20" i="10" s="1"/>
  <c r="AD27" i="10"/>
  <c r="AE27" i="10" s="1"/>
  <c r="AD19" i="10"/>
  <c r="AE19" i="10" s="1"/>
  <c r="AD10" i="10"/>
  <c r="AD33" i="10" s="1"/>
  <c r="J108" i="20"/>
  <c r="S108" i="20" s="1"/>
  <c r="J69" i="20"/>
  <c r="R69" i="20" s="1"/>
  <c r="BP35" i="9"/>
  <c r="AL151" i="9"/>
  <c r="BO44" i="9"/>
  <c r="AL69" i="9"/>
  <c r="AL66" i="9"/>
  <c r="BM38" i="9"/>
  <c r="BQ84" i="9"/>
  <c r="BO53" i="9"/>
  <c r="BP66" i="9"/>
  <c r="BN28" i="9"/>
  <c r="BQ31" i="9"/>
  <c r="BQ58" i="9"/>
  <c r="AL96" i="9"/>
  <c r="BQ18" i="9"/>
  <c r="AL53" i="9"/>
  <c r="BP47" i="9"/>
  <c r="AL51" i="9"/>
  <c r="BM69" i="9"/>
  <c r="BS69" i="9" s="1"/>
  <c r="AL63" i="9"/>
  <c r="AL77" i="9"/>
  <c r="BO10" i="9"/>
  <c r="BO70" i="9"/>
  <c r="AL31" i="9"/>
  <c r="BO59" i="9"/>
  <c r="BP19" i="9"/>
  <c r="AL44" i="9"/>
  <c r="AL55" i="9"/>
  <c r="BO86" i="9"/>
  <c r="BO76" i="9"/>
  <c r="AL129" i="9"/>
  <c r="BQ55" i="9"/>
  <c r="BO63" i="9"/>
  <c r="AL42" i="9"/>
  <c r="BN41" i="9"/>
  <c r="BM77" i="9"/>
  <c r="BS77" i="9" s="1"/>
  <c r="V55" i="10"/>
  <c r="J39" i="20"/>
  <c r="S39" i="20" s="1"/>
  <c r="AA35" i="10"/>
  <c r="AB35" i="10"/>
  <c r="R143" i="9"/>
  <c r="R90" i="9"/>
  <c r="AG154" i="9"/>
  <c r="AS154" i="9" s="1"/>
  <c r="AA154" i="9"/>
  <c r="Z89" i="9"/>
  <c r="AF89" i="9"/>
  <c r="AR89" i="9" s="1"/>
  <c r="AI89" i="9"/>
  <c r="AU89" i="9" s="1"/>
  <c r="AC89" i="9"/>
  <c r="Y154" i="9"/>
  <c r="AE154" i="9"/>
  <c r="AQ154" i="9" s="1"/>
  <c r="R154" i="9"/>
  <c r="AF154" i="9"/>
  <c r="AR154" i="9" s="1"/>
  <c r="Z154" i="9"/>
  <c r="AH154" i="9"/>
  <c r="AT154" i="9" s="1"/>
  <c r="AB154" i="9"/>
  <c r="Y89" i="9"/>
  <c r="AE89" i="9"/>
  <c r="AQ89" i="9" s="1"/>
  <c r="R89" i="9"/>
  <c r="AG89" i="9"/>
  <c r="AS89" i="9" s="1"/>
  <c r="AA89" i="9"/>
  <c r="AH89" i="9"/>
  <c r="AT89" i="9" s="1"/>
  <c r="AB89" i="9"/>
  <c r="AC154" i="9"/>
  <c r="AI154" i="9"/>
  <c r="AU154" i="9" s="1"/>
  <c r="P139" i="6"/>
  <c r="AG61" i="9"/>
  <c r="AS61" i="9" s="1"/>
  <c r="AF34" i="9"/>
  <c r="AR34" i="9" s="1"/>
  <c r="Z34" i="9"/>
  <c r="AB34" i="9"/>
  <c r="AH34" i="9"/>
  <c r="AT34" i="9" s="1"/>
  <c r="AF61" i="9"/>
  <c r="AR61" i="9" s="1"/>
  <c r="Z61" i="9"/>
  <c r="R60" i="9"/>
  <c r="Y60" i="9"/>
  <c r="AC34" i="9"/>
  <c r="AI34" i="9"/>
  <c r="AU34" i="9" s="1"/>
  <c r="R33" i="9"/>
  <c r="Y33" i="9"/>
  <c r="AB61" i="9"/>
  <c r="AH61" i="9"/>
  <c r="AT61" i="9" s="1"/>
  <c r="AG34" i="9"/>
  <c r="AS34" i="9" s="1"/>
  <c r="AA34" i="9"/>
  <c r="R61" i="9"/>
  <c r="Y61" i="9"/>
  <c r="AE61" i="9"/>
  <c r="AQ61" i="9" s="1"/>
  <c r="R34" i="9"/>
  <c r="Y34" i="9"/>
  <c r="AE34" i="9"/>
  <c r="AQ34" i="9" s="1"/>
  <c r="AC61" i="9"/>
  <c r="AI61" i="9"/>
  <c r="AU61" i="9" s="1"/>
  <c r="J166" i="1"/>
  <c r="D118" i="6"/>
  <c r="P115" i="6"/>
  <c r="P118" i="6" s="1"/>
  <c r="J173" i="1" s="1"/>
  <c r="J72" i="14" s="1"/>
  <c r="D113" i="6"/>
  <c r="P110" i="6"/>
  <c r="P113" i="6" s="1"/>
  <c r="J120" i="1" s="1"/>
  <c r="P132" i="6"/>
  <c r="M33" i="20"/>
  <c r="I32" i="1"/>
  <c r="I51" i="14" s="1"/>
  <c r="J51" i="14"/>
  <c r="D232" i="1"/>
  <c r="D231" i="1"/>
  <c r="H167" i="1"/>
  <c r="F101" i="14"/>
  <c r="I48" i="1"/>
  <c r="Q54" i="18"/>
  <c r="I117" i="1"/>
  <c r="AB50" i="10"/>
  <c r="AL40" i="9"/>
  <c r="AA46" i="10"/>
  <c r="AG46" i="10" s="1"/>
  <c r="AB46" i="10"/>
  <c r="AH46" i="10" s="1"/>
  <c r="AB49" i="10"/>
  <c r="AH49" i="10" s="1"/>
  <c r="AA49" i="10"/>
  <c r="AG49" i="10" s="1"/>
  <c r="M55" i="10"/>
  <c r="AA22" i="10"/>
  <c r="AG22" i="10" s="1"/>
  <c r="BJ10" i="9"/>
  <c r="BJ22" i="9"/>
  <c r="BJ9" i="9"/>
  <c r="BJ16" i="9"/>
  <c r="BJ21" i="9"/>
  <c r="BJ13" i="9"/>
  <c r="BJ7" i="9"/>
  <c r="BJ15" i="9"/>
  <c r="BJ23" i="9"/>
  <c r="BJ5" i="9"/>
  <c r="BJ14" i="9"/>
  <c r="BJ19" i="9"/>
  <c r="BJ8" i="9"/>
  <c r="BJ18" i="9"/>
  <c r="BJ24" i="9"/>
  <c r="BJ11" i="9"/>
  <c r="BJ17" i="9"/>
  <c r="BJ4" i="9"/>
  <c r="BJ20" i="9"/>
  <c r="BJ25" i="9"/>
  <c r="BJ12" i="9"/>
  <c r="P91" i="6"/>
  <c r="F58" i="5" s="1"/>
  <c r="AB47" i="10"/>
  <c r="AH47" i="10" s="1"/>
  <c r="AA47" i="10"/>
  <c r="AG47" i="10" s="1"/>
  <c r="P104" i="6"/>
  <c r="P107" i="6" s="1"/>
  <c r="I173" i="1" s="1"/>
  <c r="D107" i="6"/>
  <c r="AB45" i="10"/>
  <c r="AH45" i="10" s="1"/>
  <c r="AA45" i="10"/>
  <c r="AG45" i="10" s="1"/>
  <c r="BG129" i="9"/>
  <c r="AA15" i="10"/>
  <c r="AG15" i="10" s="1"/>
  <c r="AA50" i="10"/>
  <c r="AG50" i="10" s="1"/>
  <c r="AL72" i="9"/>
  <c r="BG96" i="9"/>
  <c r="BG97" i="9"/>
  <c r="BJ148" i="9"/>
  <c r="BG151" i="9"/>
  <c r="BJ147" i="9"/>
  <c r="BG77" i="9"/>
  <c r="AD29" i="10"/>
  <c r="AE29" i="10" s="1"/>
  <c r="AB43" i="10"/>
  <c r="AG43" i="10"/>
  <c r="AA48" i="10"/>
  <c r="AG48" i="10" s="1"/>
  <c r="AB48" i="10"/>
  <c r="AD34" i="10"/>
  <c r="AB41" i="10"/>
  <c r="AA42" i="10"/>
  <c r="AG42" i="10" s="1"/>
  <c r="AD30" i="10"/>
  <c r="AB42" i="10"/>
  <c r="AA41" i="10"/>
  <c r="AG41" i="10" s="1"/>
  <c r="AB31" i="10"/>
  <c r="AA31" i="10"/>
  <c r="AD31" i="10"/>
  <c r="Q58" i="18"/>
  <c r="AB36" i="10"/>
  <c r="AA30" i="10"/>
  <c r="AB40" i="10"/>
  <c r="AA32" i="10"/>
  <c r="AG32" i="10" s="1"/>
  <c r="AB34" i="10"/>
  <c r="AB33" i="10"/>
  <c r="AB29" i="10"/>
  <c r="AA33" i="10"/>
  <c r="AB32" i="10"/>
  <c r="AB30" i="10"/>
  <c r="AB39" i="10"/>
  <c r="AA29" i="10"/>
  <c r="AA37" i="10"/>
  <c r="AG37" i="10" s="1"/>
  <c r="AA38" i="10"/>
  <c r="AG38" i="10" s="1"/>
  <c r="S104" i="10"/>
  <c r="AA104" i="10"/>
  <c r="AG104" i="10" s="1"/>
  <c r="AA40" i="10"/>
  <c r="AG40" i="10" s="1"/>
  <c r="AB104" i="10"/>
  <c r="T104" i="10"/>
  <c r="AA39" i="10"/>
  <c r="AG39" i="10" s="1"/>
  <c r="AB37" i="10"/>
  <c r="AB38" i="10"/>
  <c r="AA34" i="10"/>
  <c r="AA36" i="10"/>
  <c r="AG36" i="10" s="1"/>
  <c r="AB6" i="10"/>
  <c r="AA18" i="10"/>
  <c r="AG18" i="10" s="1"/>
  <c r="BH43" i="9"/>
  <c r="BG94" i="9"/>
  <c r="BG121" i="9"/>
  <c r="J35" i="20"/>
  <c r="AL95" i="9"/>
  <c r="N111" i="20"/>
  <c r="AB53" i="10"/>
  <c r="AH53" i="10" s="1"/>
  <c r="BG76" i="9"/>
  <c r="BG78" i="9"/>
  <c r="AL75" i="9"/>
  <c r="AR75" i="9" s="1"/>
  <c r="BG122" i="9"/>
  <c r="BG51" i="9"/>
  <c r="AL122" i="9"/>
  <c r="AL47" i="9"/>
  <c r="BG127" i="9"/>
  <c r="O133" i="1"/>
  <c r="Q133" i="1" s="1"/>
  <c r="S133" i="1" s="1"/>
  <c r="BG73" i="9"/>
  <c r="BG70" i="9"/>
  <c r="BG48" i="9"/>
  <c r="BG125" i="9"/>
  <c r="BG45" i="9"/>
  <c r="BG40" i="9"/>
  <c r="BG37" i="9"/>
  <c r="BG123" i="9"/>
  <c r="AA26" i="10"/>
  <c r="AG26" i="10" s="1"/>
  <c r="AA4" i="10"/>
  <c r="AG4" i="10" s="1"/>
  <c r="M87" i="20"/>
  <c r="J87" i="20" s="1"/>
  <c r="M86" i="20"/>
  <c r="J86" i="20" s="1"/>
  <c r="AA8" i="10"/>
  <c r="AG8" i="10" s="1"/>
  <c r="AB4" i="10"/>
  <c r="AA14" i="10"/>
  <c r="AG14" i="10" s="1"/>
  <c r="AA19" i="10"/>
  <c r="T98" i="10"/>
  <c r="AL128" i="9"/>
  <c r="BH115" i="9"/>
  <c r="AA9" i="10"/>
  <c r="AG9" i="10" s="1"/>
  <c r="AA21" i="10"/>
  <c r="AA16" i="10"/>
  <c r="AG16" i="10" s="1"/>
  <c r="AA20" i="10"/>
  <c r="AA6" i="10"/>
  <c r="AG6" i="10" s="1"/>
  <c r="T100" i="10"/>
  <c r="AA99" i="10"/>
  <c r="AG99" i="10" s="1"/>
  <c r="AA12" i="10"/>
  <c r="AG12" i="10" s="1"/>
  <c r="AB98" i="10"/>
  <c r="AA7" i="10"/>
  <c r="AG7" i="10" s="1"/>
  <c r="AB51" i="10"/>
  <c r="AH51" i="10" s="1"/>
  <c r="AB52" i="10"/>
  <c r="AH52" i="10" s="1"/>
  <c r="AA10" i="10"/>
  <c r="S100" i="10"/>
  <c r="AA11" i="10"/>
  <c r="AG11" i="10" s="1"/>
  <c r="AA17" i="10"/>
  <c r="AG17" i="10" s="1"/>
  <c r="AE98" i="10"/>
  <c r="AA102" i="10"/>
  <c r="AG102" i="10" s="1"/>
  <c r="AA13" i="10"/>
  <c r="AG13" i="10" s="1"/>
  <c r="T101" i="10"/>
  <c r="S103" i="10"/>
  <c r="S101" i="10"/>
  <c r="AA24" i="10"/>
  <c r="AG24" i="10" s="1"/>
  <c r="BG146" i="9"/>
  <c r="BG145" i="9"/>
  <c r="AL124" i="9"/>
  <c r="BG44" i="9"/>
  <c r="BG53" i="9"/>
  <c r="BG75" i="9"/>
  <c r="BG42" i="9"/>
  <c r="BG50" i="9"/>
  <c r="BG124" i="9"/>
  <c r="BG72" i="9"/>
  <c r="BG39" i="9"/>
  <c r="BG142" i="9"/>
  <c r="BG144" i="9"/>
  <c r="BG69" i="9"/>
  <c r="BG36" i="9"/>
  <c r="BG47" i="9"/>
  <c r="BG55" i="9"/>
  <c r="BG31" i="9"/>
  <c r="BM1" i="9"/>
  <c r="BQ76" i="9" s="1"/>
  <c r="P99" i="6"/>
  <c r="P102" i="6" s="1"/>
  <c r="I120" i="1" s="1"/>
  <c r="J13" i="20"/>
  <c r="S13" i="20" s="1"/>
  <c r="AE4" i="10"/>
  <c r="D27" i="14"/>
  <c r="D37" i="14" s="1"/>
  <c r="D225" i="1"/>
  <c r="D51" i="14"/>
  <c r="D52" i="14"/>
  <c r="O135" i="1"/>
  <c r="Q135" i="1" s="1"/>
  <c r="S135" i="1" s="1"/>
  <c r="O134" i="1"/>
  <c r="Q134" i="1" s="1"/>
  <c r="S134" i="1" s="1"/>
  <c r="I9" i="1"/>
  <c r="I114" i="1" s="1"/>
  <c r="BH84" i="9"/>
  <c r="BH87" i="9"/>
  <c r="BG126" i="9"/>
  <c r="BG93" i="9"/>
  <c r="BG98" i="9"/>
  <c r="BG116" i="9"/>
  <c r="BI29" i="9"/>
  <c r="BG35" i="9"/>
  <c r="BG41" i="9"/>
  <c r="BG46" i="9"/>
  <c r="BG52" i="9"/>
  <c r="BJ57" i="9"/>
  <c r="BH59" i="9"/>
  <c r="BH65" i="9"/>
  <c r="BG71" i="9"/>
  <c r="BH119" i="9"/>
  <c r="BH82" i="9"/>
  <c r="BH83" i="9"/>
  <c r="BI86" i="9"/>
  <c r="BI120" i="9"/>
  <c r="BI28" i="9"/>
  <c r="BH32" i="9"/>
  <c r="BH38" i="9"/>
  <c r="BJ43" i="9"/>
  <c r="BJ68" i="9"/>
  <c r="BG119" i="9"/>
  <c r="BF152" i="9"/>
  <c r="BG82" i="9"/>
  <c r="BG83" i="9"/>
  <c r="BG85" i="9"/>
  <c r="BJ88" i="9"/>
  <c r="BJ93" i="9"/>
  <c r="BJ100" i="9"/>
  <c r="BJ27" i="9"/>
  <c r="BG32" i="9"/>
  <c r="BG38" i="9"/>
  <c r="BG115" i="9"/>
  <c r="BG54" i="9"/>
  <c r="BG117" i="9"/>
  <c r="BH62" i="9"/>
  <c r="BH68" i="9"/>
  <c r="BG74" i="9"/>
  <c r="BF153" i="9"/>
  <c r="BI80" i="9"/>
  <c r="BJ84" i="9"/>
  <c r="BH88" i="9"/>
  <c r="BH126" i="9"/>
  <c r="BH93" i="9"/>
  <c r="BH99" i="9"/>
  <c r="BG26" i="9"/>
  <c r="BG30" i="9"/>
  <c r="BH35" i="9"/>
  <c r="BG43" i="9"/>
  <c r="BG49" i="9"/>
  <c r="BG130" i="9"/>
  <c r="BI58" i="9"/>
  <c r="BG68" i="9"/>
  <c r="BG118" i="9"/>
  <c r="BF114" i="9"/>
  <c r="D48" i="1"/>
  <c r="D56" i="14" s="1"/>
  <c r="D64" i="14" s="1"/>
  <c r="D111" i="1"/>
  <c r="D124" i="1" s="1"/>
  <c r="W55" i="10"/>
  <c r="I28" i="14"/>
  <c r="I38" i="14" s="1"/>
  <c r="M86" i="14"/>
  <c r="G27" i="14"/>
  <c r="G37" i="14" s="1"/>
  <c r="P35" i="6"/>
  <c r="AA27" i="10"/>
  <c r="AB27" i="10"/>
  <c r="AE22" i="10"/>
  <c r="AE18" i="10"/>
  <c r="AE14" i="10"/>
  <c r="AE32" i="10" s="1"/>
  <c r="AE103" i="10"/>
  <c r="I27" i="14"/>
  <c r="I37" i="14" s="1"/>
  <c r="N67" i="20"/>
  <c r="J67" i="20" s="1"/>
  <c r="N16" i="20"/>
  <c r="J16" i="20" s="1"/>
  <c r="I27" i="44" s="1"/>
  <c r="I29" i="44" s="1"/>
  <c r="AE16" i="10"/>
  <c r="AE104" i="10"/>
  <c r="R70" i="20"/>
  <c r="AE24" i="10"/>
  <c r="N112" i="20"/>
  <c r="J112" i="20" s="1"/>
  <c r="S112" i="20" s="1"/>
  <c r="N36" i="20"/>
  <c r="J36" i="20" s="1"/>
  <c r="N17" i="20"/>
  <c r="J17" i="20" s="1"/>
  <c r="AG103" i="10"/>
  <c r="AE26" i="10"/>
  <c r="AE9" i="10"/>
  <c r="AG25" i="10"/>
  <c r="AE7" i="10"/>
  <c r="AE11" i="10"/>
  <c r="AE50" i="10" s="1"/>
  <c r="AE99" i="10"/>
  <c r="AE5" i="10"/>
  <c r="AG5" i="10"/>
  <c r="D20" i="1"/>
  <c r="D58" i="5"/>
  <c r="K25" i="1"/>
  <c r="B111" i="5" s="1"/>
  <c r="E70" i="5"/>
  <c r="K18" i="1" s="1"/>
  <c r="K41" i="1" s="1"/>
  <c r="K53" i="14" s="1"/>
  <c r="D41" i="1"/>
  <c r="D53" i="14" s="1"/>
  <c r="D37" i="1"/>
  <c r="D40" i="1" s="1"/>
  <c r="AE8" i="10"/>
  <c r="AE12" i="10"/>
  <c r="AE37" i="10" s="1"/>
  <c r="AE15" i="10"/>
  <c r="AE38" i="10" s="1"/>
  <c r="AE23" i="10"/>
  <c r="AE101" i="10"/>
  <c r="AE28" i="10"/>
  <c r="AB102" i="10"/>
  <c r="T102" i="10"/>
  <c r="AG101" i="10"/>
  <c r="AE6" i="10"/>
  <c r="AE13" i="10"/>
  <c r="AE36" i="10" s="1"/>
  <c r="AE17" i="10"/>
  <c r="AE100" i="10"/>
  <c r="AE25" i="10"/>
  <c r="AE102" i="10"/>
  <c r="AB7" i="10"/>
  <c r="AB22" i="10"/>
  <c r="AG28" i="10"/>
  <c r="AG23" i="10"/>
  <c r="AG100" i="10"/>
  <c r="AB103" i="10"/>
  <c r="T103" i="10"/>
  <c r="AB15" i="10"/>
  <c r="AB24" i="10"/>
  <c r="AB21" i="10"/>
  <c r="AB13" i="10"/>
  <c r="AB99" i="10"/>
  <c r="T99" i="10"/>
  <c r="K37" i="1"/>
  <c r="K40" i="1" s="1"/>
  <c r="K51" i="14"/>
  <c r="K88" i="14" s="1"/>
  <c r="P127" i="6"/>
  <c r="AB9" i="10"/>
  <c r="AB17" i="10"/>
  <c r="AB26" i="10"/>
  <c r="AB19" i="10"/>
  <c r="AB11" i="10"/>
  <c r="S98" i="10"/>
  <c r="AA98" i="10"/>
  <c r="AG98" i="10" s="1"/>
  <c r="N110" i="20"/>
  <c r="G51" i="14"/>
  <c r="G37" i="1"/>
  <c r="G40" i="1" s="1"/>
  <c r="G43" i="1" s="1"/>
  <c r="G17" i="1"/>
  <c r="D285" i="1"/>
  <c r="E274" i="1"/>
  <c r="E223" i="1"/>
  <c r="E275" i="1"/>
  <c r="D76" i="1"/>
  <c r="J80" i="1"/>
  <c r="F80" i="1"/>
  <c r="H87" i="1"/>
  <c r="I87" i="1"/>
  <c r="E79" i="1"/>
  <c r="G79" i="1"/>
  <c r="E87" i="1"/>
  <c r="G86" i="1"/>
  <c r="H76" i="1"/>
  <c r="D80" i="1"/>
  <c r="I86" i="1"/>
  <c r="G80" i="1"/>
  <c r="H79" i="1"/>
  <c r="E80" i="1"/>
  <c r="K79" i="1"/>
  <c r="I79" i="1"/>
  <c r="F79" i="1"/>
  <c r="F76" i="1"/>
  <c r="J86" i="1"/>
  <c r="G87" i="1"/>
  <c r="J87" i="1"/>
  <c r="H86" i="1"/>
  <c r="K80" i="1"/>
  <c r="J81" i="1"/>
  <c r="E76" i="1"/>
  <c r="I81" i="1"/>
  <c r="I80" i="1"/>
  <c r="D81" i="1"/>
  <c r="M87" i="14" l="1"/>
  <c r="N84" i="20"/>
  <c r="E84" i="20"/>
  <c r="U84" i="20" s="1"/>
  <c r="G23" i="44"/>
  <c r="B27" i="44"/>
  <c r="B29" i="44"/>
  <c r="G10" i="44"/>
  <c r="G29" i="44"/>
  <c r="G27" i="44"/>
  <c r="C22" i="44"/>
  <c r="C29" i="44"/>
  <c r="F60" i="20"/>
  <c r="U60" i="20" s="1"/>
  <c r="F61" i="20"/>
  <c r="U61" i="20"/>
  <c r="G16" i="44"/>
  <c r="G19" i="44"/>
  <c r="F54" i="20"/>
  <c r="U54" i="20"/>
  <c r="F55" i="20"/>
  <c r="J33" i="20"/>
  <c r="R33" i="20" s="1"/>
  <c r="M52" i="20"/>
  <c r="J52" i="20" s="1"/>
  <c r="M58" i="20"/>
  <c r="J58" i="20" s="1"/>
  <c r="G18" i="44"/>
  <c r="G12" i="44"/>
  <c r="F62" i="20"/>
  <c r="R108" i="20"/>
  <c r="G17" i="44"/>
  <c r="G22" i="44"/>
  <c r="G15" i="44"/>
  <c r="G11" i="44"/>
  <c r="G20" i="44"/>
  <c r="G24" i="44"/>
  <c r="G14" i="44"/>
  <c r="C21" i="44"/>
  <c r="C18" i="44"/>
  <c r="J20" i="20"/>
  <c r="F23" i="20"/>
  <c r="U23" i="20" s="1"/>
  <c r="C19" i="44"/>
  <c r="C24" i="44"/>
  <c r="F29" i="20"/>
  <c r="F22" i="20"/>
  <c r="U22" i="20"/>
  <c r="F30" i="20"/>
  <c r="J26" i="20"/>
  <c r="F28" i="20"/>
  <c r="U28" i="20" s="1"/>
  <c r="AG21" i="10"/>
  <c r="B12" i="44"/>
  <c r="E12" i="44" s="1"/>
  <c r="B16" i="44"/>
  <c r="E16" i="44" s="1"/>
  <c r="B10" i="44"/>
  <c r="E10" i="44" s="1"/>
  <c r="B24" i="44"/>
  <c r="B15" i="44"/>
  <c r="E15" i="44" s="1"/>
  <c r="B13" i="44"/>
  <c r="E13" i="44" s="1"/>
  <c r="B11" i="44"/>
  <c r="E11" i="44" s="1"/>
  <c r="B17" i="44"/>
  <c r="E17" i="44" s="1"/>
  <c r="B19" i="44"/>
  <c r="B23" i="44"/>
  <c r="E23" i="44" s="1"/>
  <c r="B20" i="44"/>
  <c r="E20" i="44" s="1"/>
  <c r="B14" i="44"/>
  <c r="E14" i="44" s="1"/>
  <c r="B21" i="44"/>
  <c r="G37" i="44"/>
  <c r="B18" i="44"/>
  <c r="B22" i="44"/>
  <c r="S69" i="20"/>
  <c r="AG20" i="10"/>
  <c r="AG19" i="10"/>
  <c r="G199" i="1"/>
  <c r="E199" i="1"/>
  <c r="K199" i="1"/>
  <c r="K200" i="1" s="1"/>
  <c r="AE10" i="10"/>
  <c r="AE35" i="10" s="1"/>
  <c r="AH35" i="10" s="1"/>
  <c r="AG10" i="10"/>
  <c r="AG33" i="10"/>
  <c r="H170" i="1"/>
  <c r="H101" i="14" s="1"/>
  <c r="R39" i="20"/>
  <c r="G171" i="1"/>
  <c r="D67" i="1"/>
  <c r="D135" i="1" s="1"/>
  <c r="BN75" i="9"/>
  <c r="BT75" i="9" s="1"/>
  <c r="BP64" i="9"/>
  <c r="BV64" i="9" s="1"/>
  <c r="BN42" i="9"/>
  <c r="BT42" i="9" s="1"/>
  <c r="BP46" i="9"/>
  <c r="BQ38" i="9"/>
  <c r="BP70" i="9"/>
  <c r="BV70" i="9" s="1"/>
  <c r="BO82" i="9"/>
  <c r="BO8" i="9"/>
  <c r="BU8" i="9" s="1"/>
  <c r="BP27" i="9"/>
  <c r="BM48" i="9"/>
  <c r="BS48" i="9" s="1"/>
  <c r="BM21" i="9"/>
  <c r="BS21" i="9" s="1"/>
  <c r="BM51" i="9"/>
  <c r="BS51" i="9" s="1"/>
  <c r="BO47" i="9"/>
  <c r="BU47" i="9" s="1"/>
  <c r="BP12" i="9"/>
  <c r="BV12" i="9" s="1"/>
  <c r="BQ83" i="9"/>
  <c r="BM7" i="9"/>
  <c r="BS7" i="9" s="1"/>
  <c r="BM19" i="9"/>
  <c r="BS19" i="9" s="1"/>
  <c r="BO66" i="9"/>
  <c r="BU66" i="9" s="1"/>
  <c r="BM58" i="9"/>
  <c r="BQ23" i="9"/>
  <c r="BW23" i="9" s="1"/>
  <c r="BM86" i="9"/>
  <c r="BS86" i="9" s="1"/>
  <c r="BP68" i="9"/>
  <c r="BM54" i="9"/>
  <c r="BP45" i="9"/>
  <c r="BV45" i="9" s="1"/>
  <c r="BN99" i="9"/>
  <c r="BT99" i="9" s="1"/>
  <c r="BP32" i="9"/>
  <c r="BO71" i="9"/>
  <c r="BQ48" i="9"/>
  <c r="BW48" i="9" s="1"/>
  <c r="BN27" i="9"/>
  <c r="BM24" i="9"/>
  <c r="BS24" i="9" s="1"/>
  <c r="BN30" i="9"/>
  <c r="BO36" i="9"/>
  <c r="BU36" i="9" s="1"/>
  <c r="BN76" i="9"/>
  <c r="BT76" i="9" s="1"/>
  <c r="BP86" i="9"/>
  <c r="BP49" i="9"/>
  <c r="BP10" i="9"/>
  <c r="BV10" i="9" s="1"/>
  <c r="BM41" i="9"/>
  <c r="BM35" i="9"/>
  <c r="BQ44" i="9"/>
  <c r="BW44" i="9" s="1"/>
  <c r="BP41" i="9"/>
  <c r="BQ21" i="9"/>
  <c r="BW21" i="9" s="1"/>
  <c r="BP16" i="9"/>
  <c r="BV16" i="9" s="1"/>
  <c r="BO30" i="9"/>
  <c r="BM49" i="9"/>
  <c r="BM98" i="9"/>
  <c r="BS98" i="9" s="1"/>
  <c r="BQ47" i="9"/>
  <c r="BW47" i="9" s="1"/>
  <c r="BN58" i="9"/>
  <c r="BQ46" i="9"/>
  <c r="BQ27" i="9"/>
  <c r="BO40" i="9"/>
  <c r="BU40" i="9" s="1"/>
  <c r="BN83" i="9"/>
  <c r="BP51" i="9"/>
  <c r="BV51" i="9" s="1"/>
  <c r="BN31" i="9"/>
  <c r="BP57" i="9"/>
  <c r="BN77" i="9"/>
  <c r="BT77" i="9" s="1"/>
  <c r="BO88" i="9"/>
  <c r="BP71" i="9"/>
  <c r="BO17" i="9"/>
  <c r="BU17" i="9" s="1"/>
  <c r="BN80" i="9"/>
  <c r="BQ11" i="9"/>
  <c r="BW11" i="9" s="1"/>
  <c r="BO32" i="9"/>
  <c r="BP74" i="9"/>
  <c r="BO12" i="9"/>
  <c r="BU12" i="9" s="1"/>
  <c r="BO18" i="9"/>
  <c r="BU18" i="9" s="1"/>
  <c r="BM27" i="9"/>
  <c r="BM62" i="9"/>
  <c r="BS62" i="9" s="1"/>
  <c r="BO84" i="9"/>
  <c r="BM47" i="9"/>
  <c r="BS47" i="9" s="1"/>
  <c r="BQ24" i="9"/>
  <c r="BW24" i="9" s="1"/>
  <c r="BQ43" i="9"/>
  <c r="BN74" i="9"/>
  <c r="BQ50" i="9"/>
  <c r="BW50" i="9" s="1"/>
  <c r="BP25" i="9"/>
  <c r="BV25" i="9" s="1"/>
  <c r="BP73" i="9"/>
  <c r="BV73" i="9" s="1"/>
  <c r="BN87" i="9"/>
  <c r="BM59" i="9"/>
  <c r="BO73" i="9"/>
  <c r="BU73" i="9" s="1"/>
  <c r="BQ81" i="9"/>
  <c r="BW81" i="9" s="1"/>
  <c r="BQ54" i="9"/>
  <c r="BM5" i="9"/>
  <c r="BS5" i="9" s="1"/>
  <c r="BO87" i="9"/>
  <c r="BQ14" i="9"/>
  <c r="BW14" i="9" s="1"/>
  <c r="BP78" i="9"/>
  <c r="BV78" i="9" s="1"/>
  <c r="BP80" i="9"/>
  <c r="BO11" i="9"/>
  <c r="BU11" i="9" s="1"/>
  <c r="BO13" i="9"/>
  <c r="BU13" i="9" s="1"/>
  <c r="BN65" i="9"/>
  <c r="BO41" i="9"/>
  <c r="BQ10" i="9"/>
  <c r="BW10" i="9" s="1"/>
  <c r="BP53" i="9"/>
  <c r="BV53" i="9" s="1"/>
  <c r="BN100" i="9"/>
  <c r="BT100" i="9" s="1"/>
  <c r="BM74" i="9"/>
  <c r="BS74" i="9" s="1"/>
  <c r="BM50" i="9"/>
  <c r="BS50" i="9" s="1"/>
  <c r="BP75" i="9"/>
  <c r="BV75" i="9" s="1"/>
  <c r="BQ53" i="9"/>
  <c r="BW53" i="9" s="1"/>
  <c r="BP22" i="9"/>
  <c r="BV22" i="9" s="1"/>
  <c r="BO65" i="9"/>
  <c r="BP42" i="9"/>
  <c r="BV42" i="9" s="1"/>
  <c r="BQ12" i="9"/>
  <c r="BW12" i="9" s="1"/>
  <c r="BM57" i="9"/>
  <c r="BN97" i="9"/>
  <c r="BT97" i="9" s="1"/>
  <c r="BO35" i="9"/>
  <c r="BP18" i="9"/>
  <c r="BV18" i="9" s="1"/>
  <c r="BO45" i="9"/>
  <c r="BU45" i="9" s="1"/>
  <c r="BQ82" i="9"/>
  <c r="BM15" i="9"/>
  <c r="BS15" i="9" s="1"/>
  <c r="BM17" i="9"/>
  <c r="BS17" i="9" s="1"/>
  <c r="AL67" i="9"/>
  <c r="BN67" i="9" s="1"/>
  <c r="BT67" i="9" s="1"/>
  <c r="BN66" i="9"/>
  <c r="BT66" i="9" s="1"/>
  <c r="BO80" i="9"/>
  <c r="BP23" i="9"/>
  <c r="BV23" i="9" s="1"/>
  <c r="BN95" i="9"/>
  <c r="BT95" i="9" s="1"/>
  <c r="BQ32" i="9"/>
  <c r="BQ19" i="9"/>
  <c r="BW19" i="9" s="1"/>
  <c r="BM88" i="9"/>
  <c r="BS88" i="9" s="1"/>
  <c r="BM92" i="9"/>
  <c r="BS92" i="9" s="1"/>
  <c r="BP63" i="9"/>
  <c r="BV63" i="9" s="1"/>
  <c r="BQ59" i="9"/>
  <c r="BM53" i="9"/>
  <c r="BS53" i="9" s="1"/>
  <c r="BM55" i="9"/>
  <c r="BS55" i="9" s="1"/>
  <c r="BP14" i="9"/>
  <c r="BV14" i="9" s="1"/>
  <c r="BO42" i="9"/>
  <c r="BU42" i="9" s="1"/>
  <c r="BP6" i="9"/>
  <c r="BV6" i="9" s="1"/>
  <c r="BM30" i="9"/>
  <c r="BN96" i="9"/>
  <c r="BT96" i="9" s="1"/>
  <c r="BP28" i="9"/>
  <c r="BM8" i="9"/>
  <c r="BS8" i="9" s="1"/>
  <c r="BQ16" i="9"/>
  <c r="BW16" i="9" s="1"/>
  <c r="BM46" i="9"/>
  <c r="BN85" i="9"/>
  <c r="BN71" i="9"/>
  <c r="BN68" i="9"/>
  <c r="BM100" i="9"/>
  <c r="BS100" i="9" s="1"/>
  <c r="BO24" i="9"/>
  <c r="BU24" i="9" s="1"/>
  <c r="BM65" i="9"/>
  <c r="BS65" i="9" s="1"/>
  <c r="BQ8" i="9"/>
  <c r="BW8" i="9" s="1"/>
  <c r="BM87" i="9"/>
  <c r="BS87" i="9" s="1"/>
  <c r="BQ74" i="9"/>
  <c r="BO69" i="9"/>
  <c r="BU69" i="9" s="1"/>
  <c r="BN54" i="9"/>
  <c r="BP69" i="9"/>
  <c r="BV69" i="9" s="1"/>
  <c r="BP29" i="9"/>
  <c r="BQ69" i="9"/>
  <c r="BW69" i="9" s="1"/>
  <c r="BP38" i="9"/>
  <c r="BP17" i="9"/>
  <c r="BV17" i="9" s="1"/>
  <c r="BN52" i="9"/>
  <c r="BM96" i="9"/>
  <c r="BS96" i="9" s="1"/>
  <c r="BN84" i="9"/>
  <c r="BP37" i="9"/>
  <c r="BV37" i="9" s="1"/>
  <c r="BP24" i="9"/>
  <c r="BV24" i="9" s="1"/>
  <c r="BM68" i="9"/>
  <c r="BS68" i="9" s="1"/>
  <c r="BO67" i="9"/>
  <c r="BU67" i="9" s="1"/>
  <c r="BQ64" i="9"/>
  <c r="BW64" i="9" s="1"/>
  <c r="AL70" i="9"/>
  <c r="BN70" i="9" s="1"/>
  <c r="BT70" i="9" s="1"/>
  <c r="BN69" i="9"/>
  <c r="BT69" i="9" s="1"/>
  <c r="BN86" i="9"/>
  <c r="BO25" i="9"/>
  <c r="BU25" i="9" s="1"/>
  <c r="BM84" i="9"/>
  <c r="BS84" i="9" s="1"/>
  <c r="BP11" i="9"/>
  <c r="BV11" i="9" s="1"/>
  <c r="BO52" i="9"/>
  <c r="BQ9" i="9"/>
  <c r="BW9" i="9" s="1"/>
  <c r="BP62" i="9"/>
  <c r="BN55" i="9"/>
  <c r="BT55" i="9" s="1"/>
  <c r="BO75" i="9"/>
  <c r="BU75" i="9" s="1"/>
  <c r="BO38" i="9"/>
  <c r="BQ26" i="9"/>
  <c r="BP59" i="9"/>
  <c r="BO15" i="9"/>
  <c r="BU15" i="9" s="1"/>
  <c r="BN53" i="9"/>
  <c r="BT53" i="9" s="1"/>
  <c r="BM94" i="9"/>
  <c r="BS94" i="9" s="1"/>
  <c r="BP15" i="9"/>
  <c r="BV15" i="9" s="1"/>
  <c r="BM66" i="9"/>
  <c r="BS66" i="9" s="1"/>
  <c r="BO6" i="9"/>
  <c r="BU6" i="9" s="1"/>
  <c r="BO74" i="9"/>
  <c r="BM95" i="9"/>
  <c r="BS95" i="9" s="1"/>
  <c r="BQ45" i="9"/>
  <c r="BW45" i="9" s="1"/>
  <c r="BQ7" i="9"/>
  <c r="BW7" i="9" s="1"/>
  <c r="BQ62" i="9"/>
  <c r="BM13" i="9"/>
  <c r="BS13" i="9" s="1"/>
  <c r="AL73" i="9"/>
  <c r="BN73" i="9" s="1"/>
  <c r="BT73" i="9" s="1"/>
  <c r="BN72" i="9"/>
  <c r="BT72" i="9" s="1"/>
  <c r="BQ13" i="9"/>
  <c r="BW13" i="9" s="1"/>
  <c r="BM71" i="9"/>
  <c r="BS71" i="9" s="1"/>
  <c r="BO23" i="9"/>
  <c r="BU23" i="9" s="1"/>
  <c r="BO58" i="9"/>
  <c r="BQ5" i="9"/>
  <c r="BW5" i="9" s="1"/>
  <c r="BP43" i="9"/>
  <c r="BO27" i="9"/>
  <c r="BP84" i="9"/>
  <c r="BM26" i="9"/>
  <c r="BQ15" i="9"/>
  <c r="BW15" i="9" s="1"/>
  <c r="BQ49" i="9"/>
  <c r="BM23" i="9"/>
  <c r="BS23" i="9" s="1"/>
  <c r="BO83" i="9"/>
  <c r="BQ73" i="9"/>
  <c r="BW73" i="9" s="1"/>
  <c r="BM70" i="9"/>
  <c r="BS70" i="9" s="1"/>
  <c r="BO55" i="9"/>
  <c r="BU55" i="9" s="1"/>
  <c r="BO22" i="9"/>
  <c r="BU22" i="9" s="1"/>
  <c r="BQ40" i="9"/>
  <c r="BW40" i="9" s="1"/>
  <c r="BQ75" i="9"/>
  <c r="BW75" i="9" s="1"/>
  <c r="BQ36" i="9"/>
  <c r="BW36" i="9" s="1"/>
  <c r="BO14" i="9"/>
  <c r="BU14" i="9" s="1"/>
  <c r="BN57" i="9"/>
  <c r="BN19" i="9"/>
  <c r="BN20" i="9"/>
  <c r="BN10" i="9"/>
  <c r="BN5" i="9"/>
  <c r="BN21" i="9"/>
  <c r="BT21" i="9" s="1"/>
  <c r="BN6" i="9"/>
  <c r="BN22" i="9"/>
  <c r="BN7" i="9"/>
  <c r="BN23" i="9"/>
  <c r="BN25" i="9"/>
  <c r="BN8" i="9"/>
  <c r="BN24" i="9"/>
  <c r="BM102" i="9"/>
  <c r="BS102" i="9" s="1"/>
  <c r="BN9" i="9"/>
  <c r="BM103" i="9"/>
  <c r="BS103" i="9" s="1"/>
  <c r="BN13" i="9"/>
  <c r="BN17" i="9"/>
  <c r="BN14" i="9"/>
  <c r="BN15" i="9"/>
  <c r="BN16" i="9"/>
  <c r="BN18" i="9"/>
  <c r="BT18" i="9" s="1"/>
  <c r="BN11" i="9"/>
  <c r="BN12" i="9"/>
  <c r="BN59" i="9"/>
  <c r="BN35" i="9"/>
  <c r="BN93" i="9"/>
  <c r="BT93" i="9" s="1"/>
  <c r="BN79" i="9"/>
  <c r="BT79" i="9" s="1"/>
  <c r="BM61" i="9"/>
  <c r="BS61" i="9" s="1"/>
  <c r="BN56" i="9"/>
  <c r="BT56" i="9" s="1"/>
  <c r="BN32" i="9"/>
  <c r="BM89" i="9"/>
  <c r="BS89" i="9" s="1"/>
  <c r="BM79" i="9"/>
  <c r="BS79" i="9" s="1"/>
  <c r="BM60" i="9"/>
  <c r="BS60" i="9" s="1"/>
  <c r="BM34" i="9"/>
  <c r="BS34" i="9" s="1"/>
  <c r="BM90" i="9"/>
  <c r="BS90" i="9" s="1"/>
  <c r="BM56" i="9"/>
  <c r="BS56" i="9" s="1"/>
  <c r="BN26" i="9"/>
  <c r="BM33" i="9"/>
  <c r="BS33" i="9" s="1"/>
  <c r="BN60" i="9"/>
  <c r="BT60" i="9" s="1"/>
  <c r="BN36" i="9"/>
  <c r="BT36" i="9" s="1"/>
  <c r="BN33" i="9"/>
  <c r="BT33" i="9" s="1"/>
  <c r="BN90" i="9"/>
  <c r="BT90" i="9" s="1"/>
  <c r="BN92" i="9"/>
  <c r="BT92" i="9" s="1"/>
  <c r="BN38" i="9"/>
  <c r="BN102" i="9"/>
  <c r="BT102" i="9" s="1"/>
  <c r="BN104" i="9"/>
  <c r="BT104" i="9" s="1"/>
  <c r="BN103" i="9"/>
  <c r="BT103" i="9" s="1"/>
  <c r="BN94" i="9"/>
  <c r="BT94" i="9" s="1"/>
  <c r="BN89" i="9"/>
  <c r="BN34" i="9"/>
  <c r="BT34" i="9" s="1"/>
  <c r="BN91" i="9"/>
  <c r="BT91" i="9" s="1"/>
  <c r="BN37" i="9"/>
  <c r="BT37" i="9" s="1"/>
  <c r="BN61" i="9"/>
  <c r="BT61" i="9" s="1"/>
  <c r="BP95" i="9"/>
  <c r="BV95" i="9" s="1"/>
  <c r="BQ99" i="9"/>
  <c r="BW99" i="9" s="1"/>
  <c r="BQ95" i="9"/>
  <c r="BW95" i="9" s="1"/>
  <c r="BP90" i="9"/>
  <c r="BV90" i="9" s="1"/>
  <c r="BQ33" i="9"/>
  <c r="BW33" i="9" s="1"/>
  <c r="BP93" i="9"/>
  <c r="BV93" i="9" s="1"/>
  <c r="BQ61" i="9"/>
  <c r="BW61" i="9" s="1"/>
  <c r="BP60" i="9"/>
  <c r="BV60" i="9" s="1"/>
  <c r="BQ96" i="9"/>
  <c r="BW96" i="9" s="1"/>
  <c r="BO56" i="9"/>
  <c r="BU56" i="9" s="1"/>
  <c r="BQ104" i="9"/>
  <c r="BW104" i="9" s="1"/>
  <c r="BO94" i="9"/>
  <c r="BU94" i="9" s="1"/>
  <c r="BO99" i="9"/>
  <c r="BU99" i="9" s="1"/>
  <c r="BQ94" i="9"/>
  <c r="BW94" i="9" s="1"/>
  <c r="BQ102" i="9"/>
  <c r="BW102" i="9" s="1"/>
  <c r="BP87" i="9"/>
  <c r="BP99" i="9"/>
  <c r="BV99" i="9" s="1"/>
  <c r="BO90" i="9"/>
  <c r="BU90" i="9" s="1"/>
  <c r="BP104" i="9"/>
  <c r="BV104" i="9" s="1"/>
  <c r="BP98" i="9"/>
  <c r="BV98" i="9" s="1"/>
  <c r="BP79" i="9"/>
  <c r="BV79" i="9" s="1"/>
  <c r="BP100" i="9"/>
  <c r="BV100" i="9" s="1"/>
  <c r="BQ85" i="9"/>
  <c r="BO103" i="9"/>
  <c r="BU103" i="9" s="1"/>
  <c r="BO93" i="9"/>
  <c r="BU93" i="9" s="1"/>
  <c r="BQ90" i="9"/>
  <c r="BW90" i="9" s="1"/>
  <c r="BO95" i="9"/>
  <c r="BU95" i="9" s="1"/>
  <c r="BP91" i="9"/>
  <c r="BV91" i="9" s="1"/>
  <c r="BQ91" i="9"/>
  <c r="BW91" i="9" s="1"/>
  <c r="BP103" i="9"/>
  <c r="BV103" i="9" s="1"/>
  <c r="BQ34" i="9"/>
  <c r="BW34" i="9" s="1"/>
  <c r="BO34" i="9"/>
  <c r="BU34" i="9" s="1"/>
  <c r="BQ88" i="9"/>
  <c r="BP92" i="9"/>
  <c r="BV92" i="9" s="1"/>
  <c r="BQ97" i="9"/>
  <c r="BW97" i="9" s="1"/>
  <c r="BP94" i="9"/>
  <c r="BV94" i="9" s="1"/>
  <c r="BO104" i="9"/>
  <c r="BU104" i="9" s="1"/>
  <c r="BP61" i="9"/>
  <c r="BV61" i="9" s="1"/>
  <c r="BP34" i="9"/>
  <c r="BV34" i="9" s="1"/>
  <c r="BP89" i="9"/>
  <c r="BV89" i="9" s="1"/>
  <c r="BQ98" i="9"/>
  <c r="BW98" i="9" s="1"/>
  <c r="BO91" i="9"/>
  <c r="BU91" i="9" s="1"/>
  <c r="BO79" i="9"/>
  <c r="BU79" i="9" s="1"/>
  <c r="BQ100" i="9"/>
  <c r="BW100" i="9" s="1"/>
  <c r="BQ103" i="9"/>
  <c r="BW103" i="9" s="1"/>
  <c r="BQ92" i="9"/>
  <c r="BW92" i="9" s="1"/>
  <c r="BP33" i="9"/>
  <c r="BV33" i="9" s="1"/>
  <c r="BQ93" i="9"/>
  <c r="BW93" i="9" s="1"/>
  <c r="BO33" i="9"/>
  <c r="BU33" i="9" s="1"/>
  <c r="BP96" i="9"/>
  <c r="BV96" i="9" s="1"/>
  <c r="BQ68" i="9"/>
  <c r="BP88" i="9"/>
  <c r="BQ79" i="9"/>
  <c r="BW79" i="9" s="1"/>
  <c r="BO97" i="9"/>
  <c r="BU97" i="9" s="1"/>
  <c r="BO92" i="9"/>
  <c r="BU92" i="9" s="1"/>
  <c r="BQ89" i="9"/>
  <c r="BW89" i="9" s="1"/>
  <c r="BO98" i="9"/>
  <c r="BU98" i="9" s="1"/>
  <c r="BQ86" i="9"/>
  <c r="BO89" i="9"/>
  <c r="BU89" i="9" s="1"/>
  <c r="BP56" i="9"/>
  <c r="BV56" i="9" s="1"/>
  <c r="BP102" i="9"/>
  <c r="BV102" i="9" s="1"/>
  <c r="BP97" i="9"/>
  <c r="BV97" i="9" s="1"/>
  <c r="BQ56" i="9"/>
  <c r="BW56" i="9" s="1"/>
  <c r="BO96" i="9"/>
  <c r="BU96" i="9" s="1"/>
  <c r="BO102" i="9"/>
  <c r="BU102" i="9" s="1"/>
  <c r="BO100" i="9"/>
  <c r="BU100" i="9" s="1"/>
  <c r="BO60" i="9"/>
  <c r="BU60" i="9" s="1"/>
  <c r="BQ60" i="9"/>
  <c r="BW60" i="9" s="1"/>
  <c r="BQ87" i="9"/>
  <c r="BO61" i="9"/>
  <c r="BU61" i="9" s="1"/>
  <c r="BP81" i="9"/>
  <c r="BV81" i="9" s="1"/>
  <c r="BO81" i="9"/>
  <c r="BU81" i="9" s="1"/>
  <c r="BN81" i="9"/>
  <c r="BT81" i="9" s="1"/>
  <c r="BM81" i="9"/>
  <c r="BS81" i="9" s="1"/>
  <c r="BN40" i="9"/>
  <c r="BT40" i="9" s="1"/>
  <c r="BQ17" i="9"/>
  <c r="BW17" i="9" s="1"/>
  <c r="BO43" i="9"/>
  <c r="BM18" i="9"/>
  <c r="BS18" i="9" s="1"/>
  <c r="BP26" i="9"/>
  <c r="BP13" i="9"/>
  <c r="BV13" i="9" s="1"/>
  <c r="BQ80" i="9"/>
  <c r="BP30" i="9"/>
  <c r="BP52" i="9"/>
  <c r="BO9" i="9"/>
  <c r="BU9" i="9" s="1"/>
  <c r="BM80" i="9"/>
  <c r="BS80" i="9" s="1"/>
  <c r="BQ71" i="9"/>
  <c r="BN50" i="9"/>
  <c r="BT50" i="9" s="1"/>
  <c r="BO85" i="9"/>
  <c r="BP48" i="9"/>
  <c r="BV48" i="9" s="1"/>
  <c r="BQ66" i="9"/>
  <c r="BW66" i="9" s="1"/>
  <c r="BP83" i="9"/>
  <c r="BM10" i="9"/>
  <c r="BS10" i="9" s="1"/>
  <c r="BM75" i="9"/>
  <c r="BS75" i="9" s="1"/>
  <c r="BP72" i="9"/>
  <c r="BV72" i="9" s="1"/>
  <c r="BM36" i="9"/>
  <c r="BS36" i="9" s="1"/>
  <c r="BO19" i="9"/>
  <c r="BU19" i="9" s="1"/>
  <c r="BN98" i="9"/>
  <c r="BT98" i="9" s="1"/>
  <c r="BO77" i="9"/>
  <c r="BU77" i="9" s="1"/>
  <c r="BP8" i="9"/>
  <c r="BV8" i="9" s="1"/>
  <c r="BO68" i="9"/>
  <c r="BM20" i="9"/>
  <c r="BS20" i="9" s="1"/>
  <c r="BM104" i="9"/>
  <c r="BS104" i="9" s="1"/>
  <c r="BO5" i="9"/>
  <c r="BU5" i="9" s="1"/>
  <c r="BQ52" i="9"/>
  <c r="BO54" i="9"/>
  <c r="BQ29" i="9"/>
  <c r="BQ20" i="9"/>
  <c r="BW20" i="9" s="1"/>
  <c r="BN29" i="9"/>
  <c r="BM32" i="9"/>
  <c r="BN51" i="9"/>
  <c r="BT51" i="9" s="1"/>
  <c r="BP31" i="9"/>
  <c r="BQ63" i="9"/>
  <c r="BW63" i="9" s="1"/>
  <c r="BP55" i="9"/>
  <c r="BV55" i="9" s="1"/>
  <c r="BQ28" i="9"/>
  <c r="BO64" i="9"/>
  <c r="BU64" i="9" s="1"/>
  <c r="BO72" i="9"/>
  <c r="BU72" i="9" s="1"/>
  <c r="BP82" i="9"/>
  <c r="BP36" i="9"/>
  <c r="BV36" i="9" s="1"/>
  <c r="BN46" i="9"/>
  <c r="BM64" i="9"/>
  <c r="BS64" i="9" s="1"/>
  <c r="BN47" i="9"/>
  <c r="BT47" i="9" s="1"/>
  <c r="BO21" i="9"/>
  <c r="BU21" i="9" s="1"/>
  <c r="BO49" i="9"/>
  <c r="BO51" i="9"/>
  <c r="BU51" i="9" s="1"/>
  <c r="BN49" i="9"/>
  <c r="BM14" i="9"/>
  <c r="BS14" i="9" s="1"/>
  <c r="BM82" i="9"/>
  <c r="BS82" i="9" s="1"/>
  <c r="BN43" i="9"/>
  <c r="BQ57" i="9"/>
  <c r="BM16" i="9"/>
  <c r="BS16" i="9" s="1"/>
  <c r="BQ25" i="9"/>
  <c r="BW25" i="9" s="1"/>
  <c r="BM83" i="9"/>
  <c r="BS83" i="9" s="1"/>
  <c r="BM91" i="9"/>
  <c r="BS91" i="9" s="1"/>
  <c r="BO26" i="9"/>
  <c r="BM63" i="9"/>
  <c r="BS63" i="9" s="1"/>
  <c r="BP58" i="9"/>
  <c r="BO29" i="9"/>
  <c r="BO48" i="9"/>
  <c r="BU48" i="9" s="1"/>
  <c r="BQ30" i="9"/>
  <c r="BM29" i="9"/>
  <c r="BO39" i="9"/>
  <c r="BU39" i="9" s="1"/>
  <c r="BQ51" i="9"/>
  <c r="BW51" i="9" s="1"/>
  <c r="BP21" i="9"/>
  <c r="BV21" i="9" s="1"/>
  <c r="BM45" i="9"/>
  <c r="BS45" i="9" s="1"/>
  <c r="BM12" i="9"/>
  <c r="BS12" i="9" s="1"/>
  <c r="BM31" i="9"/>
  <c r="BP77" i="9"/>
  <c r="BV77" i="9" s="1"/>
  <c r="BO28" i="9"/>
  <c r="BM22" i="9"/>
  <c r="BS22" i="9" s="1"/>
  <c r="BM93" i="9"/>
  <c r="BS93" i="9" s="1"/>
  <c r="AL45" i="9"/>
  <c r="BN45" i="9" s="1"/>
  <c r="BT45" i="9" s="1"/>
  <c r="BN44" i="9"/>
  <c r="BT44" i="9" s="1"/>
  <c r="BM85" i="9"/>
  <c r="BS85" i="9" s="1"/>
  <c r="BM9" i="9"/>
  <c r="BS9" i="9" s="1"/>
  <c r="BQ6" i="9"/>
  <c r="BW6" i="9" s="1"/>
  <c r="BN62" i="9"/>
  <c r="BM78" i="9"/>
  <c r="BS78" i="9" s="1"/>
  <c r="BP5" i="9"/>
  <c r="BV5" i="9" s="1"/>
  <c r="BP50" i="9"/>
  <c r="BV50" i="9" s="1"/>
  <c r="BQ65" i="9"/>
  <c r="BN88" i="9"/>
  <c r="BM97" i="9"/>
  <c r="BS97" i="9" s="1"/>
  <c r="BO62" i="9"/>
  <c r="BM6" i="9"/>
  <c r="BS6" i="9" s="1"/>
  <c r="BP85" i="9"/>
  <c r="BM40" i="9"/>
  <c r="BS40" i="9" s="1"/>
  <c r="BM11" i="9"/>
  <c r="BS11" i="9" s="1"/>
  <c r="BQ42" i="9"/>
  <c r="BW42" i="9" s="1"/>
  <c r="BM25" i="9"/>
  <c r="BS25" i="9" s="1"/>
  <c r="BN39" i="9"/>
  <c r="BT39" i="9" s="1"/>
  <c r="BP67" i="9"/>
  <c r="BV67" i="9" s="1"/>
  <c r="BO7" i="9"/>
  <c r="BU7" i="9" s="1"/>
  <c r="BN78" i="9"/>
  <c r="BT78" i="9" s="1"/>
  <c r="BM99" i="9"/>
  <c r="BS99" i="9" s="1"/>
  <c r="BQ22" i="9"/>
  <c r="BW22" i="9" s="1"/>
  <c r="BM52" i="9"/>
  <c r="BQ78" i="9"/>
  <c r="BW78" i="9" s="1"/>
  <c r="BP20" i="9"/>
  <c r="BV20" i="9" s="1"/>
  <c r="AL64" i="9"/>
  <c r="BN64" i="9" s="1"/>
  <c r="BT64" i="9" s="1"/>
  <c r="BN63" i="9"/>
  <c r="BT63" i="9" s="1"/>
  <c r="BQ70" i="9"/>
  <c r="BW70" i="9" s="1"/>
  <c r="BM67" i="9"/>
  <c r="BS67" i="9" s="1"/>
  <c r="BO50" i="9"/>
  <c r="BU50" i="9" s="1"/>
  <c r="BM28" i="9"/>
  <c r="BM73" i="9"/>
  <c r="BS73" i="9" s="1"/>
  <c r="BQ72" i="9"/>
  <c r="BW72" i="9" s="1"/>
  <c r="BO16" i="9"/>
  <c r="BU16" i="9" s="1"/>
  <c r="BP40" i="9"/>
  <c r="BV40" i="9" s="1"/>
  <c r="BQ41" i="9"/>
  <c r="BQ39" i="9"/>
  <c r="BW39" i="9" s="1"/>
  <c r="BQ67" i="9"/>
  <c r="BW67" i="9" s="1"/>
  <c r="BM42" i="9"/>
  <c r="BS42" i="9" s="1"/>
  <c r="BM76" i="9"/>
  <c r="BS76" i="9" s="1"/>
  <c r="BO31" i="9"/>
  <c r="BO37" i="9"/>
  <c r="BU37" i="9" s="1"/>
  <c r="BQ37" i="9"/>
  <c r="BW37" i="9" s="1"/>
  <c r="BO78" i="9"/>
  <c r="BU78" i="9" s="1"/>
  <c r="BO57" i="9"/>
  <c r="BP9" i="9"/>
  <c r="BV9" i="9" s="1"/>
  <c r="BN82" i="9"/>
  <c r="BP76" i="9"/>
  <c r="BV76" i="9" s="1"/>
  <c r="BP7" i="9"/>
  <c r="BV7" i="9" s="1"/>
  <c r="BO20" i="9"/>
  <c r="BU20" i="9" s="1"/>
  <c r="BM37" i="9"/>
  <c r="BS37" i="9" s="1"/>
  <c r="BM43" i="9"/>
  <c r="BP54" i="9"/>
  <c r="BO46" i="9"/>
  <c r="BP65" i="9"/>
  <c r="BM72" i="9"/>
  <c r="BS72" i="9" s="1"/>
  <c r="BQ77" i="9"/>
  <c r="BW77" i="9" s="1"/>
  <c r="BM44" i="9"/>
  <c r="BS44" i="9" s="1"/>
  <c r="BQ35" i="9"/>
  <c r="BM39" i="9"/>
  <c r="BS39" i="9" s="1"/>
  <c r="BP39" i="9"/>
  <c r="BV39" i="9" s="1"/>
  <c r="BP44" i="9"/>
  <c r="BV44" i="9" s="1"/>
  <c r="AG35" i="10"/>
  <c r="AV89" i="9"/>
  <c r="BN154" i="9"/>
  <c r="BT154" i="9" s="1"/>
  <c r="BM154" i="9"/>
  <c r="BS154" i="9" s="1"/>
  <c r="BT89" i="9"/>
  <c r="BQ154" i="9"/>
  <c r="BW154" i="9" s="1"/>
  <c r="BO154" i="9"/>
  <c r="BU154" i="9" s="1"/>
  <c r="BP154" i="9"/>
  <c r="BV154" i="9" s="1"/>
  <c r="AV154" i="9"/>
  <c r="I121" i="1"/>
  <c r="AE33" i="10"/>
  <c r="AH33" i="10" s="1"/>
  <c r="AV34" i="9"/>
  <c r="AV61" i="9"/>
  <c r="AH50" i="10"/>
  <c r="BM114" i="9"/>
  <c r="J84" i="20"/>
  <c r="F164" i="1"/>
  <c r="F100" i="14" s="1"/>
  <c r="J178" i="1"/>
  <c r="J89" i="14" s="1"/>
  <c r="J167" i="1"/>
  <c r="J170" i="1"/>
  <c r="D168" i="1"/>
  <c r="C232" i="1"/>
  <c r="E232" i="1" s="1"/>
  <c r="C231" i="1"/>
  <c r="E231" i="1" s="1"/>
  <c r="D167" i="1"/>
  <c r="E171" i="1"/>
  <c r="E101" i="14" s="1"/>
  <c r="G167" i="1"/>
  <c r="C283" i="1"/>
  <c r="E283" i="1" s="1"/>
  <c r="H164" i="1"/>
  <c r="H100" i="14" s="1"/>
  <c r="K167" i="1"/>
  <c r="C250" i="1"/>
  <c r="D88" i="14"/>
  <c r="I170" i="1"/>
  <c r="S33" i="20"/>
  <c r="I27" i="1"/>
  <c r="I118" i="1" s="1"/>
  <c r="I8" i="1"/>
  <c r="I31" i="1" s="1"/>
  <c r="J14" i="1"/>
  <c r="J17" i="1" s="1"/>
  <c r="J20" i="1" s="1"/>
  <c r="J23" i="1" s="1"/>
  <c r="I56" i="14"/>
  <c r="I64" i="14" s="1"/>
  <c r="J114" i="1"/>
  <c r="I33" i="1"/>
  <c r="I52" i="14" s="1"/>
  <c r="J115" i="1"/>
  <c r="D234" i="1"/>
  <c r="H125" i="1"/>
  <c r="P153" i="6"/>
  <c r="K166" i="1"/>
  <c r="C249" i="1"/>
  <c r="D119" i="14"/>
  <c r="BO4" i="9"/>
  <c r="BU4" i="9" s="1"/>
  <c r="BM4" i="9"/>
  <c r="BS4" i="9" s="1"/>
  <c r="BQ4" i="9"/>
  <c r="BW4" i="9" s="1"/>
  <c r="BP4" i="9"/>
  <c r="BV4" i="9" s="1"/>
  <c r="BV19" i="9"/>
  <c r="BU10" i="9"/>
  <c r="BT12" i="9"/>
  <c r="BT6" i="9"/>
  <c r="BT14" i="9"/>
  <c r="BT24" i="9"/>
  <c r="BN4" i="9"/>
  <c r="BT4" i="9" s="1"/>
  <c r="BT5" i="9"/>
  <c r="BT16" i="9"/>
  <c r="BT8" i="9"/>
  <c r="BT17" i="9"/>
  <c r="BT23" i="9"/>
  <c r="BT15" i="9"/>
  <c r="BT25" i="9"/>
  <c r="BT7" i="9"/>
  <c r="BT11" i="9"/>
  <c r="BT13" i="9"/>
  <c r="BT19" i="9"/>
  <c r="BT9" i="9"/>
  <c r="BT10" i="9"/>
  <c r="BT22" i="9"/>
  <c r="BT20" i="9"/>
  <c r="BW18" i="9"/>
  <c r="AG30" i="10"/>
  <c r="BO129" i="9"/>
  <c r="BU129" i="9" s="1"/>
  <c r="BP129" i="9"/>
  <c r="BV129" i="9" s="1"/>
  <c r="BQ129" i="9"/>
  <c r="BW129" i="9" s="1"/>
  <c r="BM129" i="9"/>
  <c r="BS129" i="9" s="1"/>
  <c r="BN129" i="9"/>
  <c r="BT129" i="9" s="1"/>
  <c r="AG29" i="10"/>
  <c r="BM147" i="9"/>
  <c r="BS147" i="9" s="1"/>
  <c r="BQ147" i="9"/>
  <c r="BW147" i="9" s="1"/>
  <c r="BP148" i="9"/>
  <c r="BV148" i="9" s="1"/>
  <c r="BM148" i="9"/>
  <c r="BS148" i="9" s="1"/>
  <c r="BN148" i="9"/>
  <c r="BT148" i="9" s="1"/>
  <c r="BN147" i="9"/>
  <c r="BT147" i="9" s="1"/>
  <c r="BP147" i="9"/>
  <c r="BV147" i="9" s="1"/>
  <c r="BO147" i="9"/>
  <c r="BU147" i="9" s="1"/>
  <c r="BO148" i="9"/>
  <c r="BU148" i="9" s="1"/>
  <c r="BQ148" i="9"/>
  <c r="BW148" i="9" s="1"/>
  <c r="AH43" i="10"/>
  <c r="AE34" i="10"/>
  <c r="AH34" i="10" s="1"/>
  <c r="AE30" i="10"/>
  <c r="AH30" i="10" s="1"/>
  <c r="AH42" i="10"/>
  <c r="AG34" i="10"/>
  <c r="AH41" i="10"/>
  <c r="AH48" i="10"/>
  <c r="AG31" i="10"/>
  <c r="AE31" i="10"/>
  <c r="AH31" i="10" s="1"/>
  <c r="K48" i="1"/>
  <c r="K164" i="1" s="1"/>
  <c r="AH104" i="10"/>
  <c r="AH38" i="10"/>
  <c r="AH39" i="10"/>
  <c r="AH37" i="10"/>
  <c r="AH32" i="10"/>
  <c r="AH29" i="10"/>
  <c r="AH40" i="10"/>
  <c r="AH36" i="10"/>
  <c r="S55" i="10"/>
  <c r="S58" i="10" s="1"/>
  <c r="T55" i="10"/>
  <c r="T58" i="10" s="1"/>
  <c r="BP121" i="9"/>
  <c r="BV121" i="9" s="1"/>
  <c r="BQ121" i="9"/>
  <c r="BW121" i="9" s="1"/>
  <c r="BM121" i="9"/>
  <c r="BS121" i="9" s="1"/>
  <c r="BN121" i="9"/>
  <c r="BT121" i="9" s="1"/>
  <c r="BO121" i="9"/>
  <c r="BU121" i="9" s="1"/>
  <c r="V35" i="20"/>
  <c r="R35" i="20"/>
  <c r="J110" i="20"/>
  <c r="J111" i="20"/>
  <c r="AL48" i="9"/>
  <c r="BN48" i="9" s="1"/>
  <c r="BW76" i="9"/>
  <c r="BU76" i="9"/>
  <c r="BQ122" i="9"/>
  <c r="BW122" i="9" s="1"/>
  <c r="BO122" i="9"/>
  <c r="BU122" i="9" s="1"/>
  <c r="BN127" i="9"/>
  <c r="BT127" i="9" s="1"/>
  <c r="BN122" i="9"/>
  <c r="BT122" i="9" s="1"/>
  <c r="BP122" i="9"/>
  <c r="BV122" i="9" s="1"/>
  <c r="BM122" i="9"/>
  <c r="BS122" i="9" s="1"/>
  <c r="BM127" i="9"/>
  <c r="BS127" i="9" s="1"/>
  <c r="BO127" i="9"/>
  <c r="BU127" i="9" s="1"/>
  <c r="BP127" i="9"/>
  <c r="BV127" i="9" s="1"/>
  <c r="BQ127" i="9"/>
  <c r="BW127" i="9" s="1"/>
  <c r="BU70" i="9"/>
  <c r="BP125" i="9"/>
  <c r="BV125" i="9" s="1"/>
  <c r="BM125" i="9"/>
  <c r="BS125" i="9" s="1"/>
  <c r="BO125" i="9"/>
  <c r="BU125" i="9" s="1"/>
  <c r="BQ125" i="9"/>
  <c r="BW125" i="9" s="1"/>
  <c r="BU63" i="9"/>
  <c r="BQ123" i="9"/>
  <c r="BW123" i="9" s="1"/>
  <c r="BP123" i="9"/>
  <c r="BV123" i="9" s="1"/>
  <c r="BM123" i="9"/>
  <c r="BS123" i="9" s="1"/>
  <c r="BO123" i="9"/>
  <c r="BU123" i="9" s="1"/>
  <c r="S87" i="20"/>
  <c r="R87" i="20"/>
  <c r="S86" i="20"/>
  <c r="R86" i="20"/>
  <c r="AH4" i="10"/>
  <c r="AH98" i="10"/>
  <c r="AA55" i="10"/>
  <c r="N83" i="20"/>
  <c r="J83" i="20" s="1"/>
  <c r="BP145" i="9"/>
  <c r="BV145" i="9" s="1"/>
  <c r="BO146" i="9"/>
  <c r="BU146" i="9" s="1"/>
  <c r="BQ145" i="9"/>
  <c r="BW145" i="9" s="1"/>
  <c r="BM145" i="9"/>
  <c r="BS145" i="9" s="1"/>
  <c r="BQ146" i="9"/>
  <c r="BW146" i="9" s="1"/>
  <c r="BN145" i="9"/>
  <c r="BT145" i="9" s="1"/>
  <c r="BN146" i="9"/>
  <c r="BT146" i="9" s="1"/>
  <c r="BO145" i="9"/>
  <c r="BU145" i="9" s="1"/>
  <c r="BM146" i="9"/>
  <c r="BS146" i="9" s="1"/>
  <c r="BP146" i="9"/>
  <c r="BV146" i="9" s="1"/>
  <c r="BN142" i="9"/>
  <c r="BT142" i="9" s="1"/>
  <c r="BP142" i="9"/>
  <c r="BV142" i="9" s="1"/>
  <c r="BM124" i="9"/>
  <c r="BS124" i="9" s="1"/>
  <c r="BU44" i="9"/>
  <c r="BN124" i="9"/>
  <c r="BT124" i="9" s="1"/>
  <c r="BU53" i="9"/>
  <c r="BQ124" i="9"/>
  <c r="BW124" i="9" s="1"/>
  <c r="BP144" i="9"/>
  <c r="BV144" i="9" s="1"/>
  <c r="BO142" i="9"/>
  <c r="BU142" i="9" s="1"/>
  <c r="BV66" i="9"/>
  <c r="BQ144" i="9"/>
  <c r="BW144" i="9" s="1"/>
  <c r="BO124" i="9"/>
  <c r="BU124" i="9" s="1"/>
  <c r="BM144" i="9"/>
  <c r="BS144" i="9" s="1"/>
  <c r="BV47" i="9"/>
  <c r="BQ142" i="9"/>
  <c r="BW142" i="9" s="1"/>
  <c r="BW55" i="9"/>
  <c r="BM142" i="9"/>
  <c r="BS142" i="9" s="1"/>
  <c r="BO144" i="9"/>
  <c r="BU144" i="9" s="1"/>
  <c r="BP124" i="9"/>
  <c r="BV124" i="9" s="1"/>
  <c r="BN144" i="9"/>
  <c r="BT144" i="9" s="1"/>
  <c r="R13" i="20"/>
  <c r="D71" i="14"/>
  <c r="D164" i="1"/>
  <c r="D100" i="14" s="1"/>
  <c r="V16" i="20"/>
  <c r="V17" i="20"/>
  <c r="V36" i="20"/>
  <c r="V112" i="20"/>
  <c r="V67" i="20"/>
  <c r="L37" i="1"/>
  <c r="L40" i="1" s="1"/>
  <c r="L43" i="1" s="1"/>
  <c r="L46" i="1" s="1"/>
  <c r="O136" i="1"/>
  <c r="AG27" i="10"/>
  <c r="W56" i="10"/>
  <c r="I167" i="1"/>
  <c r="I178" i="1"/>
  <c r="G166" i="1"/>
  <c r="C282" i="1"/>
  <c r="N66" i="20"/>
  <c r="J66" i="20" s="1"/>
  <c r="AH22" i="10"/>
  <c r="AH21" i="10"/>
  <c r="K43" i="1"/>
  <c r="AH16" i="10"/>
  <c r="N82" i="20"/>
  <c r="AH11" i="10"/>
  <c r="AH24" i="10"/>
  <c r="AH103" i="10"/>
  <c r="F221" i="1"/>
  <c r="F222" i="1" s="1"/>
  <c r="E48" i="1"/>
  <c r="AH18" i="10"/>
  <c r="F234" i="1"/>
  <c r="F230" i="1" s="1"/>
  <c r="AH9" i="10"/>
  <c r="AH14" i="10"/>
  <c r="E58" i="5"/>
  <c r="I10" i="1"/>
  <c r="I115" i="1" s="1"/>
  <c r="AH15" i="10"/>
  <c r="AH26" i="10"/>
  <c r="AH7" i="10"/>
  <c r="AH13" i="10"/>
  <c r="AH20" i="10"/>
  <c r="AH27" i="10"/>
  <c r="AH5" i="10"/>
  <c r="AH102" i="10"/>
  <c r="D43" i="1"/>
  <c r="B112" i="5"/>
  <c r="C117" i="1"/>
  <c r="E111" i="1"/>
  <c r="F285" i="1"/>
  <c r="F282" i="1" s="1"/>
  <c r="F274" i="1"/>
  <c r="H274" i="1" s="1"/>
  <c r="I274" i="1" s="1"/>
  <c r="G56" i="14"/>
  <c r="G71" i="14" s="1"/>
  <c r="K111" i="1"/>
  <c r="K20" i="1"/>
  <c r="AH17" i="10"/>
  <c r="AH28" i="10"/>
  <c r="AH23" i="10"/>
  <c r="AH12" i="10"/>
  <c r="AH25" i="10"/>
  <c r="AH100" i="10"/>
  <c r="AH6" i="10"/>
  <c r="AH101" i="10"/>
  <c r="AH8" i="10"/>
  <c r="AH19" i="10"/>
  <c r="AH99" i="10"/>
  <c r="AB55" i="10"/>
  <c r="G88" i="14"/>
  <c r="G20" i="1"/>
  <c r="E277" i="1"/>
  <c r="E278" i="1" s="1"/>
  <c r="E225" i="1"/>
  <c r="E226" i="1" s="1"/>
  <c r="D79" i="1"/>
  <c r="M92" i="20" l="1"/>
  <c r="E29" i="44"/>
  <c r="E22" i="44"/>
  <c r="E21" i="44"/>
  <c r="E18" i="44"/>
  <c r="E19" i="44"/>
  <c r="E24" i="44"/>
  <c r="AH10" i="10"/>
  <c r="AH55" i="10" s="1"/>
  <c r="H62" i="20"/>
  <c r="R52" i="20"/>
  <c r="S52" i="20"/>
  <c r="H54" i="20"/>
  <c r="H61" i="20"/>
  <c r="H55" i="20"/>
  <c r="N62" i="20"/>
  <c r="J62" i="20" s="1"/>
  <c r="N61" i="20"/>
  <c r="J61" i="20" s="1"/>
  <c r="N54" i="20"/>
  <c r="J54" i="20" s="1"/>
  <c r="M54" i="20" s="1"/>
  <c r="Q54" i="20" s="1"/>
  <c r="N60" i="20"/>
  <c r="J60" i="20" s="1"/>
  <c r="M60" i="20" s="1"/>
  <c r="Q60" i="20" s="1"/>
  <c r="U62" i="20"/>
  <c r="S58" i="20"/>
  <c r="R58" i="20"/>
  <c r="U55" i="20"/>
  <c r="H60" i="20"/>
  <c r="R20" i="20"/>
  <c r="S20" i="20"/>
  <c r="H28" i="20"/>
  <c r="H29" i="20"/>
  <c r="S26" i="20"/>
  <c r="R26" i="20"/>
  <c r="H22" i="20"/>
  <c r="H30" i="20"/>
  <c r="U30" i="20"/>
  <c r="U29" i="20"/>
  <c r="H23" i="20"/>
  <c r="V84" i="20"/>
  <c r="G221" i="1"/>
  <c r="D128" i="1"/>
  <c r="B91" i="5"/>
  <c r="B96" i="5" s="1"/>
  <c r="B87" i="5"/>
  <c r="B100" i="5" s="1"/>
  <c r="I168" i="1"/>
  <c r="M79" i="9"/>
  <c r="Q79" i="9"/>
  <c r="P79" i="9"/>
  <c r="O79" i="9"/>
  <c r="N79" i="9"/>
  <c r="AG56" i="9"/>
  <c r="AS56" i="9" s="1"/>
  <c r="O56" i="9"/>
  <c r="AA56" i="9" s="1"/>
  <c r="N56" i="9"/>
  <c r="Z56" i="9" s="1"/>
  <c r="AI56" i="9"/>
  <c r="AU56" i="9" s="1"/>
  <c r="AF56" i="9"/>
  <c r="AR56" i="9" s="1"/>
  <c r="M56" i="9"/>
  <c r="Y56" i="9" s="1"/>
  <c r="AE56" i="9"/>
  <c r="AQ56" i="9" s="1"/>
  <c r="P56" i="9"/>
  <c r="Q56" i="9"/>
  <c r="AC56" i="9" s="1"/>
  <c r="AH56" i="9"/>
  <c r="AT56" i="9" s="1"/>
  <c r="P81" i="9"/>
  <c r="AH6" i="9"/>
  <c r="AT6" i="9" s="1"/>
  <c r="AG19" i="9"/>
  <c r="AS19" i="9" s="1"/>
  <c r="M10" i="9"/>
  <c r="Q22" i="9"/>
  <c r="AC22" i="9" s="1"/>
  <c r="AH11" i="9"/>
  <c r="AT11" i="9" s="1"/>
  <c r="AG24" i="9"/>
  <c r="AS24" i="9" s="1"/>
  <c r="P16" i="9"/>
  <c r="AB16" i="9" s="1"/>
  <c r="AE7" i="9"/>
  <c r="AQ7" i="9" s="1"/>
  <c r="AI19" i="9"/>
  <c r="AU19" i="9" s="1"/>
  <c r="M12" i="9"/>
  <c r="Q24" i="9"/>
  <c r="AC24" i="9" s="1"/>
  <c r="AI8" i="9"/>
  <c r="AU8" i="9" s="1"/>
  <c r="AH21" i="9"/>
  <c r="AT21" i="9" s="1"/>
  <c r="Q13" i="9"/>
  <c r="AC13" i="9" s="1"/>
  <c r="AE4" i="9"/>
  <c r="AF12" i="9"/>
  <c r="AR12" i="9" s="1"/>
  <c r="AE25" i="9"/>
  <c r="AQ25" i="9" s="1"/>
  <c r="N17" i="9"/>
  <c r="Z17" i="9" s="1"/>
  <c r="AE6" i="9"/>
  <c r="AQ6" i="9" s="1"/>
  <c r="AI18" i="9"/>
  <c r="AU18" i="9" s="1"/>
  <c r="M11" i="9"/>
  <c r="Q23" i="9"/>
  <c r="AC23" i="9" s="1"/>
  <c r="AG6" i="9"/>
  <c r="AS6" i="9" s="1"/>
  <c r="AF19" i="9"/>
  <c r="AR19" i="9" s="1"/>
  <c r="Q9" i="9"/>
  <c r="AC9" i="9" s="1"/>
  <c r="P22" i="9"/>
  <c r="AB22" i="9" s="1"/>
  <c r="Q20" i="9"/>
  <c r="AC20" i="9" s="1"/>
  <c r="O14" i="9"/>
  <c r="AA14" i="9" s="1"/>
  <c r="Q129" i="9"/>
  <c r="P148" i="9"/>
  <c r="AB148" i="9" s="1"/>
  <c r="AE148" i="9"/>
  <c r="AQ148" i="9" s="1"/>
  <c r="AH147" i="9"/>
  <c r="AT147" i="9" s="1"/>
  <c r="M91" i="9"/>
  <c r="AI91" i="9"/>
  <c r="AU91" i="9" s="1"/>
  <c r="M94" i="9"/>
  <c r="P78" i="9"/>
  <c r="O76" i="9"/>
  <c r="AA76" i="9" s="1"/>
  <c r="P76" i="9"/>
  <c r="AB76" i="9" s="1"/>
  <c r="AF51" i="9"/>
  <c r="AR51" i="9" s="1"/>
  <c r="AF122" i="9"/>
  <c r="AR122" i="9" s="1"/>
  <c r="M127" i="9"/>
  <c r="P77" i="9"/>
  <c r="Q73" i="9"/>
  <c r="M67" i="9"/>
  <c r="M64" i="9"/>
  <c r="M37" i="9"/>
  <c r="N92" i="9"/>
  <c r="Z92" i="9" s="1"/>
  <c r="P151" i="9"/>
  <c r="O128" i="9"/>
  <c r="AA128" i="9" s="1"/>
  <c r="AH128" i="9"/>
  <c r="AT128" i="9" s="1"/>
  <c r="M151" i="9"/>
  <c r="N151" i="9"/>
  <c r="P146" i="9"/>
  <c r="M145" i="9"/>
  <c r="N142" i="9"/>
  <c r="AG42" i="9"/>
  <c r="AS42" i="9" s="1"/>
  <c r="AG50" i="9"/>
  <c r="AS50" i="9" s="1"/>
  <c r="AG124" i="9"/>
  <c r="AS124" i="9" s="1"/>
  <c r="AG72" i="9"/>
  <c r="AS72" i="9" s="1"/>
  <c r="N44" i="9"/>
  <c r="Z44" i="9" s="1"/>
  <c r="AE144" i="9"/>
  <c r="AI72" i="9"/>
  <c r="AU72" i="9" s="1"/>
  <c r="M47" i="9"/>
  <c r="Q144" i="9"/>
  <c r="AH72" i="9"/>
  <c r="AT72" i="9" s="1"/>
  <c r="O44" i="9"/>
  <c r="AA44" i="9" s="1"/>
  <c r="O53" i="9"/>
  <c r="AA53" i="9" s="1"/>
  <c r="O63" i="9"/>
  <c r="AA63" i="9" s="1"/>
  <c r="O75" i="9"/>
  <c r="AA75" i="9" s="1"/>
  <c r="AE47" i="9"/>
  <c r="AQ47" i="9" s="1"/>
  <c r="AI144" i="9"/>
  <c r="N75" i="9"/>
  <c r="Z75" i="9" s="1"/>
  <c r="Q47" i="9"/>
  <c r="AC47" i="9" s="1"/>
  <c r="AH144" i="9"/>
  <c r="M75" i="9"/>
  <c r="AG137" i="9"/>
  <c r="AI136" i="9"/>
  <c r="Q80" i="9"/>
  <c r="Q81" i="9"/>
  <c r="AF8" i="9"/>
  <c r="AR8" i="9" s="1"/>
  <c r="AE21" i="9"/>
  <c r="AQ21" i="9" s="1"/>
  <c r="P11" i="9"/>
  <c r="AB11" i="9" s="1"/>
  <c r="O24" i="9"/>
  <c r="AA24" i="9" s="1"/>
  <c r="AF13" i="9"/>
  <c r="AR13" i="9" s="1"/>
  <c r="O5" i="9"/>
  <c r="AA5" i="9" s="1"/>
  <c r="N18" i="9"/>
  <c r="Z18" i="9" s="1"/>
  <c r="AH8" i="9"/>
  <c r="AT8" i="9" s="1"/>
  <c r="AG21" i="9"/>
  <c r="AS21" i="9" s="1"/>
  <c r="P13" i="9"/>
  <c r="AB13" i="9" s="1"/>
  <c r="AF4" i="9"/>
  <c r="AG10" i="9"/>
  <c r="AS10" i="9" s="1"/>
  <c r="AF23" i="9"/>
  <c r="AR23" i="9" s="1"/>
  <c r="O15" i="9"/>
  <c r="AA15" i="9" s="1"/>
  <c r="AG9" i="9"/>
  <c r="AS9" i="9" s="1"/>
  <c r="AI13" i="9"/>
  <c r="AU13" i="9" s="1"/>
  <c r="M6" i="9"/>
  <c r="Q18" i="9"/>
  <c r="AC18" i="9" s="1"/>
  <c r="AH7" i="9"/>
  <c r="AT7" i="9" s="1"/>
  <c r="AG20" i="9"/>
  <c r="AS20" i="9" s="1"/>
  <c r="P12" i="9"/>
  <c r="AB12" i="9" s="1"/>
  <c r="AE8" i="9"/>
  <c r="AQ8" i="9" s="1"/>
  <c r="AI20" i="9"/>
  <c r="AU20" i="9" s="1"/>
  <c r="O11" i="9"/>
  <c r="AA11" i="9" s="1"/>
  <c r="N24" i="9"/>
  <c r="Z24" i="9" s="1"/>
  <c r="P9" i="9"/>
  <c r="AB9" i="9" s="1"/>
  <c r="M16" i="9"/>
  <c r="N129" i="9"/>
  <c r="AG147" i="9"/>
  <c r="AS147" i="9" s="1"/>
  <c r="N148" i="9"/>
  <c r="Z148" i="9" s="1"/>
  <c r="Q147" i="9"/>
  <c r="AC147" i="9" s="1"/>
  <c r="O96" i="9"/>
  <c r="AA96" i="9" s="1"/>
  <c r="Q91" i="9"/>
  <c r="AC91" i="9" s="1"/>
  <c r="P91" i="9"/>
  <c r="AB91" i="9" s="1"/>
  <c r="P94" i="9"/>
  <c r="Q94" i="9"/>
  <c r="AC94" i="9" s="1"/>
  <c r="AI76" i="9"/>
  <c r="AU76" i="9" s="1"/>
  <c r="M51" i="9"/>
  <c r="O122" i="9"/>
  <c r="AA122" i="9" s="1"/>
  <c r="Q127" i="9"/>
  <c r="M77" i="9"/>
  <c r="N73" i="9"/>
  <c r="Q67" i="9"/>
  <c r="Q64" i="9"/>
  <c r="N125" i="9"/>
  <c r="Q37" i="9"/>
  <c r="P123" i="9"/>
  <c r="AQ92" i="9"/>
  <c r="AG151" i="9"/>
  <c r="M92" i="9"/>
  <c r="O92" i="9"/>
  <c r="AA92" i="9" s="1"/>
  <c r="Q151" i="9"/>
  <c r="AI151" i="9"/>
  <c r="N145" i="9"/>
  <c r="P145" i="9"/>
  <c r="AH145" i="9"/>
  <c r="M133" i="9"/>
  <c r="P44" i="9"/>
  <c r="AB44" i="9" s="1"/>
  <c r="P53" i="9"/>
  <c r="AB53" i="9" s="1"/>
  <c r="P63" i="9"/>
  <c r="AB63" i="9" s="1"/>
  <c r="P75" i="9"/>
  <c r="AB75" i="9" s="1"/>
  <c r="N47" i="9"/>
  <c r="Z47" i="9" s="1"/>
  <c r="N124" i="9"/>
  <c r="Z124" i="9" s="1"/>
  <c r="AE75" i="9"/>
  <c r="AH47" i="9"/>
  <c r="AT47" i="9" s="1"/>
  <c r="AI9" i="9"/>
  <c r="AU9" i="9" s="1"/>
  <c r="AH22" i="9"/>
  <c r="AT22" i="9" s="1"/>
  <c r="N13" i="9"/>
  <c r="Z13" i="9" s="1"/>
  <c r="AH4" i="9"/>
  <c r="AI14" i="9"/>
  <c r="AU14" i="9" s="1"/>
  <c r="M7" i="9"/>
  <c r="Q19" i="9"/>
  <c r="AC19" i="9" s="1"/>
  <c r="AF10" i="9"/>
  <c r="AR10" i="9" s="1"/>
  <c r="AE23" i="9"/>
  <c r="AQ23" i="9" s="1"/>
  <c r="N15" i="9"/>
  <c r="Z15" i="9" s="1"/>
  <c r="Q4" i="9"/>
  <c r="AE12" i="9"/>
  <c r="AQ12" i="9" s="1"/>
  <c r="AI24" i="9"/>
  <c r="AU24" i="9" s="1"/>
  <c r="M17" i="9"/>
  <c r="AG17" i="9"/>
  <c r="AS17" i="9" s="1"/>
  <c r="AG15" i="9"/>
  <c r="AS15" i="9" s="1"/>
  <c r="P7" i="9"/>
  <c r="AB7" i="9" s="1"/>
  <c r="O20" i="9"/>
  <c r="AA20" i="9" s="1"/>
  <c r="AF9" i="9"/>
  <c r="AR9" i="9" s="1"/>
  <c r="AE22" i="9"/>
  <c r="AQ22" i="9" s="1"/>
  <c r="N14" i="9"/>
  <c r="Z14" i="9" s="1"/>
  <c r="P4" i="9"/>
  <c r="AH9" i="9"/>
  <c r="AT9" i="9" s="1"/>
  <c r="AG22" i="9"/>
  <c r="AS22" i="9" s="1"/>
  <c r="M13" i="9"/>
  <c r="Q25" i="9"/>
  <c r="AC25" i="9" s="1"/>
  <c r="O22" i="9"/>
  <c r="AA22" i="9" s="1"/>
  <c r="O4" i="9"/>
  <c r="O129" i="9"/>
  <c r="P147" i="9"/>
  <c r="AB147" i="9" s="1"/>
  <c r="AI147" i="9"/>
  <c r="AU147" i="9" s="1"/>
  <c r="M147" i="9"/>
  <c r="N96" i="9"/>
  <c r="Z96" i="9" s="1"/>
  <c r="AH91" i="9"/>
  <c r="AT91" i="9" s="1"/>
  <c r="M121" i="9"/>
  <c r="N121" i="9"/>
  <c r="AE76" i="9"/>
  <c r="AQ76" i="9" s="1"/>
  <c r="Q51" i="9"/>
  <c r="AC51" i="9" s="1"/>
  <c r="AE122" i="9"/>
  <c r="AQ122" i="9" s="1"/>
  <c r="N127" i="9"/>
  <c r="N77" i="9"/>
  <c r="O73" i="9"/>
  <c r="O67" i="9"/>
  <c r="Q125" i="9"/>
  <c r="P48" i="9"/>
  <c r="Q40" i="9"/>
  <c r="AI92" i="9"/>
  <c r="AU92" i="9" s="1"/>
  <c r="N128" i="9"/>
  <c r="Z128" i="9" s="1"/>
  <c r="AT92" i="9"/>
  <c r="AR92" i="9"/>
  <c r="AH151" i="9"/>
  <c r="AF128" i="9"/>
  <c r="AR128" i="9" s="1"/>
  <c r="AE145" i="9"/>
  <c r="AF146" i="9"/>
  <c r="AG146" i="9"/>
  <c r="Q28" i="9"/>
  <c r="AG44" i="9"/>
  <c r="AS44" i="9" s="1"/>
  <c r="AG53" i="9"/>
  <c r="AS53" i="9" s="1"/>
  <c r="AG63" i="9"/>
  <c r="AS63" i="9" s="1"/>
  <c r="AG75" i="9"/>
  <c r="AI47" i="9"/>
  <c r="AU47" i="9" s="1"/>
  <c r="AI124" i="9"/>
  <c r="AU124" i="9" s="1"/>
  <c r="M36" i="9"/>
  <c r="Q142" i="9"/>
  <c r="AH124" i="9"/>
  <c r="AT124" i="9" s="1"/>
  <c r="O36" i="9"/>
  <c r="AA36" i="9" s="1"/>
  <c r="O47" i="9"/>
  <c r="AA47" i="9" s="1"/>
  <c r="O55" i="9"/>
  <c r="AA55" i="9" s="1"/>
  <c r="O66" i="9"/>
  <c r="AA66" i="9" s="1"/>
  <c r="AI36" i="9"/>
  <c r="AU36" i="9" s="1"/>
  <c r="AI142" i="9"/>
  <c r="N63" i="9"/>
  <c r="Z63" i="9" s="1"/>
  <c r="Q36" i="9"/>
  <c r="AC36" i="9" s="1"/>
  <c r="AH142" i="9"/>
  <c r="M63" i="9"/>
  <c r="O114" i="9"/>
  <c r="AG114" i="9" s="1"/>
  <c r="AS114" i="9" s="1"/>
  <c r="N35" i="9"/>
  <c r="O68" i="9"/>
  <c r="AG11" i="9"/>
  <c r="AS11" i="9" s="1"/>
  <c r="AF24" i="9"/>
  <c r="AR24" i="9" s="1"/>
  <c r="Q14" i="9"/>
  <c r="AC14" i="9" s="1"/>
  <c r="M4" i="9"/>
  <c r="AG16" i="9"/>
  <c r="AS16" i="9" s="1"/>
  <c r="P8" i="9"/>
  <c r="AB8" i="9" s="1"/>
  <c r="O21" i="9"/>
  <c r="AA21" i="9" s="1"/>
  <c r="AI11" i="9"/>
  <c r="AU11" i="9" s="1"/>
  <c r="AH24" i="9"/>
  <c r="AT24" i="9" s="1"/>
  <c r="Q16" i="9"/>
  <c r="AC16" i="9" s="1"/>
  <c r="AF14" i="9"/>
  <c r="AR14" i="9" s="1"/>
  <c r="AH13" i="9"/>
  <c r="AT13" i="9" s="1"/>
  <c r="Q5" i="9"/>
  <c r="AC5" i="9" s="1"/>
  <c r="P18" i="9"/>
  <c r="AB18" i="9" s="1"/>
  <c r="AI23" i="9"/>
  <c r="AU23" i="9" s="1"/>
  <c r="AE17" i="9"/>
  <c r="AQ17" i="9" s="1"/>
  <c r="N9" i="9"/>
  <c r="Z9" i="9" s="1"/>
  <c r="M22" i="9"/>
  <c r="AI10" i="9"/>
  <c r="AU10" i="9" s="1"/>
  <c r="AH23" i="9"/>
  <c r="AT23" i="9" s="1"/>
  <c r="Q15" i="9"/>
  <c r="AC15" i="9" s="1"/>
  <c r="AF6" i="9"/>
  <c r="AR6" i="9" s="1"/>
  <c r="AF11" i="9"/>
  <c r="AR11" i="9" s="1"/>
  <c r="AE24" i="9"/>
  <c r="AQ24" i="9" s="1"/>
  <c r="P14" i="9"/>
  <c r="AB14" i="9" s="1"/>
  <c r="AI4" i="9"/>
  <c r="P25" i="9"/>
  <c r="AB25" i="9" s="1"/>
  <c r="P129" i="9"/>
  <c r="AF148" i="9"/>
  <c r="AR148" i="9" s="1"/>
  <c r="AE147" i="9"/>
  <c r="AQ147" i="9" s="1"/>
  <c r="Q96" i="9"/>
  <c r="AC96" i="9" s="1"/>
  <c r="O91" i="9"/>
  <c r="AA91" i="9" s="1"/>
  <c r="Q121" i="9"/>
  <c r="N76" i="9"/>
  <c r="Z76" i="9" s="1"/>
  <c r="N51" i="9"/>
  <c r="Z51" i="9" s="1"/>
  <c r="AG51" i="9"/>
  <c r="AS51" i="9" s="1"/>
  <c r="AG122" i="9"/>
  <c r="AS122" i="9" s="1"/>
  <c r="AH122" i="9"/>
  <c r="AT122" i="9" s="1"/>
  <c r="O127" i="9"/>
  <c r="O77" i="9"/>
  <c r="P70" i="9"/>
  <c r="M125" i="9"/>
  <c r="O48" i="9"/>
  <c r="N45" i="9"/>
  <c r="O40" i="9"/>
  <c r="P95" i="9"/>
  <c r="AB95" i="9" s="1"/>
  <c r="P92" i="9"/>
  <c r="AB92" i="9" s="1"/>
  <c r="AR95" i="9"/>
  <c r="M95" i="9"/>
  <c r="AE128" i="9"/>
  <c r="AQ128" i="9" s="1"/>
  <c r="Q92" i="9"/>
  <c r="AC92" i="9" s="1"/>
  <c r="AI145" i="9"/>
  <c r="O145" i="9"/>
  <c r="AG145" i="9"/>
  <c r="P36" i="9"/>
  <c r="AB36" i="9" s="1"/>
  <c r="P47" i="9"/>
  <c r="AB47" i="9" s="1"/>
  <c r="P55" i="9"/>
  <c r="AB55" i="9" s="1"/>
  <c r="P66" i="9"/>
  <c r="AB66" i="9" s="1"/>
  <c r="AF75" i="9"/>
  <c r="N50" i="9"/>
  <c r="Z50" i="9" s="1"/>
  <c r="AE63" i="9"/>
  <c r="AQ63" i="9" s="1"/>
  <c r="AH36" i="9"/>
  <c r="AT36" i="9" s="1"/>
  <c r="M50" i="9"/>
  <c r="Q63" i="9"/>
  <c r="AC63" i="9" s="1"/>
  <c r="AF36" i="9"/>
  <c r="AR36" i="9" s="1"/>
  <c r="AF47" i="9"/>
  <c r="AR47" i="9" s="1"/>
  <c r="AF55" i="9"/>
  <c r="AR55" i="9" s="1"/>
  <c r="AF66" i="9"/>
  <c r="AR66" i="9" s="1"/>
  <c r="N39" i="9"/>
  <c r="Z39" i="9" s="1"/>
  <c r="AE50" i="9"/>
  <c r="AQ50" i="9" s="1"/>
  <c r="AI63" i="9"/>
  <c r="AU63" i="9" s="1"/>
  <c r="M39" i="9"/>
  <c r="AE13" i="9"/>
  <c r="AQ13" i="9" s="1"/>
  <c r="AI25" i="9"/>
  <c r="AU25" i="9" s="1"/>
  <c r="O16" i="9"/>
  <c r="AA16" i="9" s="1"/>
  <c r="AF5" i="9"/>
  <c r="AR5" i="9" s="1"/>
  <c r="AE18" i="9"/>
  <c r="AQ18" i="9" s="1"/>
  <c r="N10" i="9"/>
  <c r="Z10" i="9" s="1"/>
  <c r="M23" i="9"/>
  <c r="AG13" i="9"/>
  <c r="AS13" i="9" s="1"/>
  <c r="P5" i="9"/>
  <c r="AB5" i="9" s="1"/>
  <c r="O18" i="9"/>
  <c r="AA18" i="9" s="1"/>
  <c r="AE19" i="9"/>
  <c r="AQ19" i="9" s="1"/>
  <c r="AF15" i="9"/>
  <c r="AR15" i="9" s="1"/>
  <c r="O7" i="9"/>
  <c r="AA7" i="9" s="1"/>
  <c r="N20" i="9"/>
  <c r="Z20" i="9" s="1"/>
  <c r="AI5" i="9"/>
  <c r="AU5" i="9" s="1"/>
  <c r="AH18" i="9"/>
  <c r="AT18" i="9" s="1"/>
  <c r="Q10" i="9"/>
  <c r="AC10" i="9" s="1"/>
  <c r="P23" i="9"/>
  <c r="AB23" i="9" s="1"/>
  <c r="AG12" i="9"/>
  <c r="AS12" i="9" s="1"/>
  <c r="AF25" i="9"/>
  <c r="AR25" i="9" s="1"/>
  <c r="O17" i="9"/>
  <c r="AA17" i="9" s="1"/>
  <c r="AI7" i="9"/>
  <c r="AU7" i="9" s="1"/>
  <c r="AI12" i="9"/>
  <c r="AU12" i="9" s="1"/>
  <c r="AH25" i="9"/>
  <c r="AT25" i="9" s="1"/>
  <c r="N16" i="9"/>
  <c r="Z16" i="9" s="1"/>
  <c r="N4" i="9"/>
  <c r="N11" i="9"/>
  <c r="Z11" i="9" s="1"/>
  <c r="O148" i="9"/>
  <c r="AA148" i="9" s="1"/>
  <c r="N147" i="9"/>
  <c r="Z147" i="9" s="1"/>
  <c r="M96" i="9"/>
  <c r="AF91" i="9"/>
  <c r="AR91" i="9" s="1"/>
  <c r="N94" i="9"/>
  <c r="O78" i="9"/>
  <c r="AH76" i="9"/>
  <c r="AT76" i="9" s="1"/>
  <c r="AH51" i="9"/>
  <c r="AT51" i="9" s="1"/>
  <c r="O51" i="9"/>
  <c r="AA51" i="9" s="1"/>
  <c r="P122" i="9"/>
  <c r="AB122" i="9" s="1"/>
  <c r="M122" i="9"/>
  <c r="Q77" i="9"/>
  <c r="O70" i="9"/>
  <c r="O125" i="9"/>
  <c r="N48" i="9"/>
  <c r="Q45" i="9"/>
  <c r="P40" i="9"/>
  <c r="AS95" i="9"/>
  <c r="N95" i="9"/>
  <c r="Z95" i="9" s="1"/>
  <c r="Q97" i="9"/>
  <c r="AC97" i="9" s="1"/>
  <c r="Q95" i="9"/>
  <c r="AC95" i="9" s="1"/>
  <c r="AI128" i="9"/>
  <c r="AU128" i="9" s="1"/>
  <c r="O95" i="9"/>
  <c r="AA95" i="9" s="1"/>
  <c r="Q131" i="9"/>
  <c r="M146" i="9"/>
  <c r="AF145" i="9"/>
  <c r="O146" i="9"/>
  <c r="AG36" i="9"/>
  <c r="AS36" i="9" s="1"/>
  <c r="AG47" i="9"/>
  <c r="AS47" i="9" s="1"/>
  <c r="AG55" i="9"/>
  <c r="AS55" i="9" s="1"/>
  <c r="AG66" i="9"/>
  <c r="AS66" i="9" s="1"/>
  <c r="AE36" i="9"/>
  <c r="AQ36" i="9" s="1"/>
  <c r="AI50" i="9"/>
  <c r="AU50" i="9" s="1"/>
  <c r="N66" i="9"/>
  <c r="Z66" i="9" s="1"/>
  <c r="Q39" i="9"/>
  <c r="AC39" i="9" s="1"/>
  <c r="AH50" i="9"/>
  <c r="AT50" i="9" s="1"/>
  <c r="M66" i="9"/>
  <c r="O39" i="9"/>
  <c r="AA39" i="9" s="1"/>
  <c r="M81" i="9"/>
  <c r="AH14" i="9"/>
  <c r="AT14" i="9" s="1"/>
  <c r="N5" i="9"/>
  <c r="Z5" i="9" s="1"/>
  <c r="M18" i="9"/>
  <c r="AI6" i="9"/>
  <c r="AU6" i="9" s="1"/>
  <c r="AH19" i="9"/>
  <c r="AT19" i="9" s="1"/>
  <c r="Q11" i="9"/>
  <c r="AC11" i="9" s="1"/>
  <c r="P24" i="9"/>
  <c r="AB24" i="9" s="1"/>
  <c r="AE15" i="9"/>
  <c r="AQ15" i="9" s="1"/>
  <c r="N7" i="9"/>
  <c r="Z7" i="9" s="1"/>
  <c r="M20" i="9"/>
  <c r="AG25" i="9"/>
  <c r="AS25" i="9" s="1"/>
  <c r="AI16" i="9"/>
  <c r="AU16" i="9" s="1"/>
  <c r="M9" i="9"/>
  <c r="Q21" i="9"/>
  <c r="AC21" i="9" s="1"/>
  <c r="AG7" i="9"/>
  <c r="AS7" i="9" s="1"/>
  <c r="AF20" i="9"/>
  <c r="AR20" i="9" s="1"/>
  <c r="O12" i="9"/>
  <c r="AA12" i="9" s="1"/>
  <c r="N25" i="9"/>
  <c r="Z25" i="9" s="1"/>
  <c r="AE14" i="9"/>
  <c r="AQ14" i="9" s="1"/>
  <c r="N6" i="9"/>
  <c r="Z6" i="9" s="1"/>
  <c r="M19" i="9"/>
  <c r="AE11" i="9"/>
  <c r="AQ11" i="9" s="1"/>
  <c r="AG14" i="9"/>
  <c r="AS14" i="9" s="1"/>
  <c r="M5" i="9"/>
  <c r="Q17" i="9"/>
  <c r="AC17" i="9" s="1"/>
  <c r="O6" i="9"/>
  <c r="AA6" i="9" s="1"/>
  <c r="M24" i="9"/>
  <c r="AF147" i="9"/>
  <c r="AR147" i="9" s="1"/>
  <c r="AH148" i="9"/>
  <c r="AT148" i="9" s="1"/>
  <c r="P96" i="9"/>
  <c r="AG91" i="9"/>
  <c r="AS91" i="9" s="1"/>
  <c r="O121" i="9"/>
  <c r="N78" i="9"/>
  <c r="Q76" i="9"/>
  <c r="AC76" i="9" s="1"/>
  <c r="AE51" i="9"/>
  <c r="AQ51" i="9" s="1"/>
  <c r="AI122" i="9"/>
  <c r="AU122" i="9" s="1"/>
  <c r="N70" i="9"/>
  <c r="O64" i="9"/>
  <c r="P125" i="9"/>
  <c r="M48" i="9"/>
  <c r="P45" i="9"/>
  <c r="N40" i="9"/>
  <c r="O37" i="9"/>
  <c r="M123" i="9"/>
  <c r="N97" i="9"/>
  <c r="Z97" i="9" s="1"/>
  <c r="AU95" i="9"/>
  <c r="O151" i="9"/>
  <c r="AT95" i="9"/>
  <c r="AS92" i="9"/>
  <c r="M97" i="9"/>
  <c r="Q146" i="9"/>
  <c r="N146" i="9"/>
  <c r="P39" i="9"/>
  <c r="AB39" i="9" s="1"/>
  <c r="P142" i="9"/>
  <c r="P144" i="9"/>
  <c r="P69" i="9"/>
  <c r="AB69" i="9" s="1"/>
  <c r="AE39" i="9"/>
  <c r="AQ39" i="9" s="1"/>
  <c r="AE53" i="9"/>
  <c r="AQ53" i="9" s="1"/>
  <c r="AI66" i="9"/>
  <c r="AU66" i="9" s="1"/>
  <c r="M42" i="9"/>
  <c r="Q53" i="9"/>
  <c r="AC53" i="9" s="1"/>
  <c r="AH66" i="9"/>
  <c r="AT66" i="9" s="1"/>
  <c r="AF39" i="9"/>
  <c r="AR39" i="9" s="1"/>
  <c r="AF142" i="9"/>
  <c r="AF144" i="9"/>
  <c r="AF69" i="9"/>
  <c r="AR69" i="9" s="1"/>
  <c r="AE42" i="9"/>
  <c r="AQ42" i="9" s="1"/>
  <c r="AI53" i="9"/>
  <c r="AU53" i="9" s="1"/>
  <c r="N69" i="9"/>
  <c r="Z69" i="9" s="1"/>
  <c r="Q42" i="9"/>
  <c r="AC42" i="9" s="1"/>
  <c r="AH53" i="9"/>
  <c r="AT53" i="9" s="1"/>
  <c r="M69" i="9"/>
  <c r="AE132" i="9"/>
  <c r="P140" i="9"/>
  <c r="AH139" i="9"/>
  <c r="N81" i="9"/>
  <c r="AF16" i="9"/>
  <c r="AR16" i="9" s="1"/>
  <c r="Q6" i="9"/>
  <c r="AC6" i="9" s="1"/>
  <c r="P19" i="9"/>
  <c r="AB19" i="9" s="1"/>
  <c r="AG8" i="9"/>
  <c r="AS8" i="9" s="1"/>
  <c r="AF21" i="9"/>
  <c r="AR21" i="9" s="1"/>
  <c r="O13" i="9"/>
  <c r="AA13" i="9" s="1"/>
  <c r="AG4" i="9"/>
  <c r="AH16" i="9"/>
  <c r="AT16" i="9" s="1"/>
  <c r="Q8" i="9"/>
  <c r="AC8" i="9" s="1"/>
  <c r="P21" i="9"/>
  <c r="AB21" i="9" s="1"/>
  <c r="AH5" i="9"/>
  <c r="AT5" i="9" s="1"/>
  <c r="AG18" i="9"/>
  <c r="AS18" i="9" s="1"/>
  <c r="P10" i="9"/>
  <c r="AB10" i="9" s="1"/>
  <c r="O23" i="9"/>
  <c r="AA23" i="9" s="1"/>
  <c r="AE9" i="9"/>
  <c r="AQ9" i="9" s="1"/>
  <c r="AI21" i="9"/>
  <c r="AU21" i="9" s="1"/>
  <c r="M14" i="9"/>
  <c r="AH12" i="9"/>
  <c r="AT12" i="9" s="1"/>
  <c r="AH15" i="9"/>
  <c r="AT15" i="9" s="1"/>
  <c r="Q7" i="9"/>
  <c r="AC7" i="9" s="1"/>
  <c r="P20" i="9"/>
  <c r="AB20" i="9" s="1"/>
  <c r="AI15" i="9"/>
  <c r="AU15" i="9" s="1"/>
  <c r="AE16" i="9"/>
  <c r="AQ16" i="9" s="1"/>
  <c r="P6" i="9"/>
  <c r="AB6" i="9" s="1"/>
  <c r="O19" i="9"/>
  <c r="AA19" i="9" s="1"/>
  <c r="N19" i="9"/>
  <c r="Z19" i="9" s="1"/>
  <c r="P17" i="9"/>
  <c r="AB17" i="9" s="1"/>
  <c r="O147" i="9"/>
  <c r="AA147" i="9" s="1"/>
  <c r="Q148" i="9"/>
  <c r="AC148" i="9" s="1"/>
  <c r="N91" i="9"/>
  <c r="Z91" i="9" s="1"/>
  <c r="O94" i="9"/>
  <c r="AA94" i="9" s="1"/>
  <c r="Q78" i="9"/>
  <c r="M76" i="9"/>
  <c r="AI51" i="9"/>
  <c r="AU51" i="9" s="1"/>
  <c r="Z122" i="9"/>
  <c r="P73" i="9"/>
  <c r="M70" i="9"/>
  <c r="P67" i="9"/>
  <c r="N64" i="9"/>
  <c r="Q48" i="9"/>
  <c r="O45" i="9"/>
  <c r="M40" i="9"/>
  <c r="N37" i="9"/>
  <c r="Q123" i="9"/>
  <c r="P128" i="9"/>
  <c r="AB128" i="9" s="1"/>
  <c r="M128" i="9"/>
  <c r="O97" i="9"/>
  <c r="AA97" i="9" s="1"/>
  <c r="AQ95" i="9"/>
  <c r="AH146" i="9"/>
  <c r="AE146" i="9"/>
  <c r="AG39" i="9"/>
  <c r="AS39" i="9" s="1"/>
  <c r="AG142" i="9"/>
  <c r="AG144" i="9"/>
  <c r="AG69" i="9"/>
  <c r="AS69" i="9" s="1"/>
  <c r="N42" i="9"/>
  <c r="Z42" i="9" s="1"/>
  <c r="N55" i="9"/>
  <c r="Z55" i="9" s="1"/>
  <c r="AE69" i="9"/>
  <c r="AQ69" i="9" s="1"/>
  <c r="AH42" i="9"/>
  <c r="AT42" i="9" s="1"/>
  <c r="M55" i="9"/>
  <c r="Q69" i="9"/>
  <c r="AC69" i="9" s="1"/>
  <c r="O42" i="9"/>
  <c r="AA42" i="9" s="1"/>
  <c r="O50" i="9"/>
  <c r="AA50" i="9" s="1"/>
  <c r="O124" i="9"/>
  <c r="AA124" i="9" s="1"/>
  <c r="O72" i="9"/>
  <c r="AA72" i="9" s="1"/>
  <c r="AE44" i="9"/>
  <c r="AQ44" i="9" s="1"/>
  <c r="AE55" i="9"/>
  <c r="AQ55" i="9" s="1"/>
  <c r="AI69" i="9"/>
  <c r="AU69" i="9" s="1"/>
  <c r="M44" i="9"/>
  <c r="Q55" i="9"/>
  <c r="AC55" i="9" s="1"/>
  <c r="AH69" i="9"/>
  <c r="AT69" i="9" s="1"/>
  <c r="P38" i="9"/>
  <c r="M62" i="9"/>
  <c r="Q139" i="9"/>
  <c r="Q46" i="9"/>
  <c r="O81" i="9"/>
  <c r="AE5" i="9"/>
  <c r="AQ5" i="9" s="1"/>
  <c r="AI17" i="9"/>
  <c r="AU17" i="9" s="1"/>
  <c r="O8" i="9"/>
  <c r="AA8" i="9" s="1"/>
  <c r="N21" i="9"/>
  <c r="Z21" i="9" s="1"/>
  <c r="AE10" i="9"/>
  <c r="AQ10" i="9" s="1"/>
  <c r="AI22" i="9"/>
  <c r="AU22" i="9" s="1"/>
  <c r="M15" i="9"/>
  <c r="AG5" i="9"/>
  <c r="AS5" i="9" s="1"/>
  <c r="AF18" i="9"/>
  <c r="AR18" i="9" s="1"/>
  <c r="O10" i="9"/>
  <c r="AA10" i="9" s="1"/>
  <c r="N23" i="9"/>
  <c r="Z23" i="9" s="1"/>
  <c r="AF7" i="9"/>
  <c r="AR7" i="9" s="1"/>
  <c r="AE20" i="9"/>
  <c r="AQ20" i="9" s="1"/>
  <c r="N12" i="9"/>
  <c r="Z12" i="9" s="1"/>
  <c r="M25" i="9"/>
  <c r="AH10" i="9"/>
  <c r="AT10" i="9" s="1"/>
  <c r="AG23" i="9"/>
  <c r="AS23" i="9" s="1"/>
  <c r="P15" i="9"/>
  <c r="AB15" i="9" s="1"/>
  <c r="AF22" i="9"/>
  <c r="AR22" i="9" s="1"/>
  <c r="AF17" i="9"/>
  <c r="AR17" i="9" s="1"/>
  <c r="O9" i="9"/>
  <c r="AA9" i="9" s="1"/>
  <c r="N22" i="9"/>
  <c r="Z22" i="9" s="1"/>
  <c r="AH20" i="9"/>
  <c r="AT20" i="9" s="1"/>
  <c r="AH17" i="9"/>
  <c r="AT17" i="9" s="1"/>
  <c r="N8" i="9"/>
  <c r="Z8" i="9" s="1"/>
  <c r="M21" i="9"/>
  <c r="M8" i="9"/>
  <c r="Q12" i="9"/>
  <c r="AC12" i="9" s="1"/>
  <c r="M129" i="9"/>
  <c r="AG148" i="9"/>
  <c r="AS148" i="9" s="1"/>
  <c r="AI148" i="9"/>
  <c r="AU148" i="9" s="1"/>
  <c r="M148" i="9"/>
  <c r="AQ91" i="9"/>
  <c r="P121" i="9"/>
  <c r="M78" i="9"/>
  <c r="AF76" i="9"/>
  <c r="AR76" i="9" s="1"/>
  <c r="AG76" i="9"/>
  <c r="AS76" i="9" s="1"/>
  <c r="P51" i="9"/>
  <c r="AB51" i="9" s="1"/>
  <c r="Q122" i="9"/>
  <c r="AC122" i="9" s="1"/>
  <c r="P127" i="9"/>
  <c r="M73" i="9"/>
  <c r="Q70" i="9"/>
  <c r="N67" i="9"/>
  <c r="P64" i="9"/>
  <c r="M45" i="9"/>
  <c r="P37" i="9"/>
  <c r="O123" i="9"/>
  <c r="AG128" i="9"/>
  <c r="AS128" i="9" s="1"/>
  <c r="AE151" i="9"/>
  <c r="Q128" i="9"/>
  <c r="AC128" i="9" s="1"/>
  <c r="P97" i="9"/>
  <c r="AF151" i="9"/>
  <c r="Q145" i="9"/>
  <c r="AI146" i="9"/>
  <c r="AF133" i="9"/>
  <c r="P42" i="9"/>
  <c r="AB42" i="9" s="1"/>
  <c r="P50" i="9"/>
  <c r="AB50" i="9" s="1"/>
  <c r="P124" i="9"/>
  <c r="AB124" i="9" s="1"/>
  <c r="P72" i="9"/>
  <c r="AB72" i="9" s="1"/>
  <c r="AI42" i="9"/>
  <c r="AU42" i="9" s="1"/>
  <c r="AI55" i="9"/>
  <c r="AU55" i="9" s="1"/>
  <c r="N72" i="9"/>
  <c r="Z72" i="9" s="1"/>
  <c r="Q44" i="9"/>
  <c r="AC44" i="9" s="1"/>
  <c r="AH55" i="9"/>
  <c r="AT55" i="9" s="1"/>
  <c r="M72" i="9"/>
  <c r="AF42" i="9"/>
  <c r="AR42" i="9" s="1"/>
  <c r="AF50" i="9"/>
  <c r="AR50" i="9" s="1"/>
  <c r="AF124" i="9"/>
  <c r="AR124" i="9" s="1"/>
  <c r="AF72" i="9"/>
  <c r="AR72" i="9" s="1"/>
  <c r="AI44" i="9"/>
  <c r="AU44" i="9" s="1"/>
  <c r="N144" i="9"/>
  <c r="AE72" i="9"/>
  <c r="AQ72" i="9" s="1"/>
  <c r="AH44" i="9"/>
  <c r="AT44" i="9" s="1"/>
  <c r="M144" i="9"/>
  <c r="Q72" i="9"/>
  <c r="AC72" i="9" s="1"/>
  <c r="AF113" i="9"/>
  <c r="Q112" i="9"/>
  <c r="AC100" i="9"/>
  <c r="AF63" i="9"/>
  <c r="AR63" i="9" s="1"/>
  <c r="AI75" i="9"/>
  <c r="AH75" i="9"/>
  <c r="M136" i="9"/>
  <c r="O133" i="9"/>
  <c r="Q84" i="9"/>
  <c r="M46" i="9"/>
  <c r="AH113" i="9"/>
  <c r="AI137" i="9"/>
  <c r="Q87" i="9"/>
  <c r="P28" i="9"/>
  <c r="AI58" i="9"/>
  <c r="AU58" i="9" s="1"/>
  <c r="N85" i="9"/>
  <c r="P113" i="9"/>
  <c r="AE137" i="9"/>
  <c r="Q85" i="9"/>
  <c r="P27" i="9"/>
  <c r="N114" i="9"/>
  <c r="AF114" i="9" s="1"/>
  <c r="AR114" i="9" s="1"/>
  <c r="M30" i="9"/>
  <c r="O26" i="9"/>
  <c r="AH110" i="9"/>
  <c r="P134" i="9"/>
  <c r="AG141" i="9"/>
  <c r="O82" i="9"/>
  <c r="M74" i="9"/>
  <c r="P59" i="9"/>
  <c r="AH137" i="9"/>
  <c r="P57" i="9"/>
  <c r="AB57" i="9" s="1"/>
  <c r="AG110" i="9"/>
  <c r="AE133" i="9"/>
  <c r="O140" i="9"/>
  <c r="P130" i="9"/>
  <c r="M100" i="9"/>
  <c r="M49" i="9"/>
  <c r="Q49" i="9"/>
  <c r="P68" i="9"/>
  <c r="O35" i="9"/>
  <c r="N88" i="9"/>
  <c r="N59" i="9"/>
  <c r="P112" i="9"/>
  <c r="AG131" i="9"/>
  <c r="M135" i="9"/>
  <c r="AF138" i="9"/>
  <c r="M31" i="9"/>
  <c r="N135" i="9"/>
  <c r="N134" i="9"/>
  <c r="AF136" i="9"/>
  <c r="N131" i="9"/>
  <c r="O69" i="9"/>
  <c r="AA69" i="9" s="1"/>
  <c r="AH39" i="9"/>
  <c r="AT39" i="9" s="1"/>
  <c r="P49" i="9"/>
  <c r="AI31" i="9"/>
  <c r="AU31" i="9" s="1"/>
  <c r="P114" i="9"/>
  <c r="AH114" i="9" s="1"/>
  <c r="AT114" i="9" s="1"/>
  <c r="AI113" i="9"/>
  <c r="P93" i="9"/>
  <c r="AG138" i="9"/>
  <c r="Q83" i="9"/>
  <c r="Q58" i="9"/>
  <c r="AC58" i="9" s="1"/>
  <c r="N52" i="9"/>
  <c r="Q41" i="9"/>
  <c r="N74" i="9"/>
  <c r="Q138" i="9"/>
  <c r="Q82" i="9"/>
  <c r="N49" i="9"/>
  <c r="Q115" i="9"/>
  <c r="N120" i="9"/>
  <c r="AF110" i="9"/>
  <c r="AF135" i="9"/>
  <c r="P58" i="9"/>
  <c r="AB58" i="9" s="1"/>
  <c r="P52" i="9"/>
  <c r="O74" i="9"/>
  <c r="M54" i="9"/>
  <c r="O49" i="9"/>
  <c r="O32" i="9"/>
  <c r="AG57" i="9"/>
  <c r="AS57" i="9" s="1"/>
  <c r="Q118" i="9"/>
  <c r="Q116" i="9"/>
  <c r="AC116" i="9" s="1"/>
  <c r="O134" i="9"/>
  <c r="O31" i="9"/>
  <c r="AA31" i="9" s="1"/>
  <c r="M98" i="9"/>
  <c r="M80" i="9"/>
  <c r="M43" i="9"/>
  <c r="Q43" i="9"/>
  <c r="P120" i="9"/>
  <c r="P62" i="9"/>
  <c r="O30" i="9"/>
  <c r="N86" i="9"/>
  <c r="AG112" i="9"/>
  <c r="N132" i="9"/>
  <c r="Q135" i="9"/>
  <c r="N139" i="9"/>
  <c r="Q31" i="9"/>
  <c r="AC31" i="9" s="1"/>
  <c r="O138" i="9"/>
  <c r="N80" i="9"/>
  <c r="Q140" i="9"/>
  <c r="AF141" i="9"/>
  <c r="M124" i="9"/>
  <c r="N36" i="9"/>
  <c r="Z36" i="9" s="1"/>
  <c r="M142" i="9"/>
  <c r="Q141" i="9"/>
  <c r="O99" i="9"/>
  <c r="AA99" i="9" s="1"/>
  <c r="P116" i="9"/>
  <c r="P26" i="9"/>
  <c r="Q88" i="9"/>
  <c r="O38" i="9"/>
  <c r="AH131" i="9"/>
  <c r="AE139" i="9"/>
  <c r="Q153" i="9"/>
  <c r="O98" i="9"/>
  <c r="AA98" i="9" s="1"/>
  <c r="N43" i="9"/>
  <c r="Q27" i="9"/>
  <c r="AG116" i="9"/>
  <c r="P131" i="9"/>
  <c r="O139" i="9"/>
  <c r="Q74" i="9"/>
  <c r="O93" i="9"/>
  <c r="N38" i="9"/>
  <c r="Q30" i="9"/>
  <c r="N82" i="9"/>
  <c r="M112" i="9"/>
  <c r="Q136" i="9"/>
  <c r="Q98" i="9"/>
  <c r="AC98" i="9" s="1"/>
  <c r="P43" i="9"/>
  <c r="O62" i="9"/>
  <c r="M35" i="9"/>
  <c r="O152" i="9"/>
  <c r="N57" i="9"/>
  <c r="Z57" i="9" s="1"/>
  <c r="O118" i="9"/>
  <c r="N112" i="9"/>
  <c r="AI134" i="9"/>
  <c r="AI140" i="9"/>
  <c r="M93" i="9"/>
  <c r="M119" i="9"/>
  <c r="M38" i="9"/>
  <c r="Q38" i="9"/>
  <c r="P87" i="9"/>
  <c r="P117" i="9"/>
  <c r="O28" i="9"/>
  <c r="N84" i="9"/>
  <c r="Z84" i="9" s="1"/>
  <c r="M152" i="9"/>
  <c r="M113" i="9"/>
  <c r="AF132" i="9"/>
  <c r="AG135" i="9"/>
  <c r="AF139" i="9"/>
  <c r="N133" i="9"/>
  <c r="Q137" i="9"/>
  <c r="AG133" i="9"/>
  <c r="Q75" i="9"/>
  <c r="AC75" i="9" s="1"/>
  <c r="AI39" i="9"/>
  <c r="AU39" i="9" s="1"/>
  <c r="Q50" i="9"/>
  <c r="AC50" i="9" s="1"/>
  <c r="Q71" i="9"/>
  <c r="O153" i="9"/>
  <c r="O110" i="9"/>
  <c r="O83" i="9"/>
  <c r="Q59" i="9"/>
  <c r="AG132" i="9"/>
  <c r="AF140" i="9"/>
  <c r="Q68" i="9"/>
  <c r="O126" i="9"/>
  <c r="M99" i="9"/>
  <c r="P126" i="9"/>
  <c r="Q132" i="9"/>
  <c r="AI139" i="9"/>
  <c r="Q62" i="9"/>
  <c r="O88" i="9"/>
  <c r="N152" i="9"/>
  <c r="P98" i="9"/>
  <c r="AE58" i="9"/>
  <c r="AQ58" i="9" s="1"/>
  <c r="AH112" i="9"/>
  <c r="O137" i="9"/>
  <c r="Q126" i="9"/>
  <c r="P32" i="9"/>
  <c r="AF58" i="9"/>
  <c r="AR58" i="9" s="1"/>
  <c r="Q54" i="9"/>
  <c r="M57" i="9"/>
  <c r="AE57" i="9"/>
  <c r="AQ57" i="9" s="1"/>
  <c r="P118" i="9"/>
  <c r="AI112" i="9"/>
  <c r="AE135" i="9"/>
  <c r="AH141" i="9"/>
  <c r="M126" i="9"/>
  <c r="M71" i="9"/>
  <c r="M32" i="9"/>
  <c r="Q32" i="9"/>
  <c r="P85" i="9"/>
  <c r="AG58" i="9"/>
  <c r="AS58" i="9" s="1"/>
  <c r="O27" i="9"/>
  <c r="M26" i="9"/>
  <c r="Q113" i="9"/>
  <c r="Q133" i="9"/>
  <c r="N136" i="9"/>
  <c r="M140" i="9"/>
  <c r="O132" i="9"/>
  <c r="N31" i="9"/>
  <c r="Z31" i="9" s="1"/>
  <c r="AG136" i="9"/>
  <c r="AG113" i="9"/>
  <c r="AH31" i="9"/>
  <c r="AT31" i="9" s="1"/>
  <c r="N138" i="9"/>
  <c r="AF44" i="9"/>
  <c r="AR44" i="9" s="1"/>
  <c r="AE142" i="9"/>
  <c r="M53" i="9"/>
  <c r="N153" i="9"/>
  <c r="N46" i="9"/>
  <c r="N54" i="9"/>
  <c r="P29" i="9"/>
  <c r="M116" i="9"/>
  <c r="AH133" i="9"/>
  <c r="AE141" i="9"/>
  <c r="Q117" i="9"/>
  <c r="O86" i="9"/>
  <c r="M87" i="9"/>
  <c r="AI133" i="9"/>
  <c r="P133" i="9"/>
  <c r="O141" i="9"/>
  <c r="AH58" i="9"/>
  <c r="AT58" i="9" s="1"/>
  <c r="O84" i="9"/>
  <c r="P86" i="9"/>
  <c r="O113" i="9"/>
  <c r="M138" i="9"/>
  <c r="Q86" i="9"/>
  <c r="P152" i="9"/>
  <c r="N115" i="9"/>
  <c r="Q35" i="9"/>
  <c r="N83" i="9"/>
  <c r="Q57" i="9"/>
  <c r="AC57" i="9" s="1"/>
  <c r="AI57" i="9"/>
  <c r="AU57" i="9" s="1"/>
  <c r="P141" i="9"/>
  <c r="M118" i="9"/>
  <c r="P136" i="9"/>
  <c r="M130" i="9"/>
  <c r="AE31" i="9"/>
  <c r="AQ31" i="9" s="1"/>
  <c r="M88" i="9"/>
  <c r="M65" i="9"/>
  <c r="M29" i="9"/>
  <c r="Q29" i="9"/>
  <c r="P83" i="9"/>
  <c r="O54" i="9"/>
  <c r="AI110" i="9"/>
  <c r="N140" i="9"/>
  <c r="O142" i="9"/>
  <c r="N53" i="9"/>
  <c r="Z53" i="9" s="1"/>
  <c r="Q124" i="9"/>
  <c r="AC124" i="9" s="1"/>
  <c r="AI135" i="9"/>
  <c r="M82" i="9"/>
  <c r="AH134" i="9"/>
  <c r="M120" i="9"/>
  <c r="O87" i="9"/>
  <c r="Q110" i="9"/>
  <c r="P135" i="9"/>
  <c r="AF31" i="9"/>
  <c r="AR31" i="9" s="1"/>
  <c r="P54" i="9"/>
  <c r="M153" i="9"/>
  <c r="P65" i="9"/>
  <c r="AH136" i="9"/>
  <c r="AF134" i="9"/>
  <c r="AI141" i="9"/>
  <c r="P115" i="9"/>
  <c r="O80" i="9"/>
  <c r="M83" i="9"/>
  <c r="P119" i="9"/>
  <c r="P132" i="9"/>
  <c r="M139" i="9"/>
  <c r="O58" i="9"/>
  <c r="AA58" i="9" s="1"/>
  <c r="N41" i="9"/>
  <c r="N62" i="9"/>
  <c r="AH57" i="9"/>
  <c r="AT57" i="9" s="1"/>
  <c r="O57" i="9"/>
  <c r="AA57" i="9" s="1"/>
  <c r="N68" i="9"/>
  <c r="N118" i="9"/>
  <c r="O131" i="9"/>
  <c r="P137" i="9"/>
  <c r="O130" i="9"/>
  <c r="N30" i="9"/>
  <c r="AG31" i="9"/>
  <c r="AS31" i="9" s="1"/>
  <c r="M59" i="9"/>
  <c r="N58" i="9"/>
  <c r="Z58" i="9" s="1"/>
  <c r="Q152" i="9"/>
  <c r="P82" i="9"/>
  <c r="O115" i="9"/>
  <c r="N98" i="9"/>
  <c r="N119" i="9"/>
  <c r="O116" i="9"/>
  <c r="M134" i="9"/>
  <c r="N137" i="9"/>
  <c r="AG140" i="9"/>
  <c r="N110" i="9"/>
  <c r="AI138" i="9"/>
  <c r="N113" i="9"/>
  <c r="AH140" i="9"/>
  <c r="P110" i="9"/>
  <c r="AF53" i="9"/>
  <c r="AR53" i="9" s="1"/>
  <c r="AE124" i="9"/>
  <c r="AQ124" i="9" s="1"/>
  <c r="AH63" i="9"/>
  <c r="AT63" i="9" s="1"/>
  <c r="Q93" i="9"/>
  <c r="P71" i="9"/>
  <c r="AE138" i="9"/>
  <c r="M28" i="9"/>
  <c r="O117" i="9"/>
  <c r="AF116" i="9"/>
  <c r="AR116" i="9" s="1"/>
  <c r="O136" i="9"/>
  <c r="AC99" i="9"/>
  <c r="P46" i="9"/>
  <c r="O119" i="9"/>
  <c r="M117" i="9"/>
  <c r="O52" i="9"/>
  <c r="AE140" i="9"/>
  <c r="AH135" i="9"/>
  <c r="M58" i="9"/>
  <c r="P41" i="9"/>
  <c r="O71" i="9"/>
  <c r="M68" i="9"/>
  <c r="O135" i="9"/>
  <c r="M132" i="9"/>
  <c r="AG139" i="9"/>
  <c r="Q119" i="9"/>
  <c r="O120" i="9"/>
  <c r="N29" i="9"/>
  <c r="P88" i="9"/>
  <c r="AE131" i="9"/>
  <c r="AF57" i="9"/>
  <c r="AR57" i="9" s="1"/>
  <c r="N117" i="9"/>
  <c r="AI131" i="9"/>
  <c r="P138" i="9"/>
  <c r="Q130" i="9"/>
  <c r="N28" i="9"/>
  <c r="M86" i="9"/>
  <c r="M114" i="9"/>
  <c r="AE114" i="9" s="1"/>
  <c r="AQ114" i="9" s="1"/>
  <c r="Q114" i="9"/>
  <c r="AI114" i="9" s="1"/>
  <c r="AU114" i="9" s="1"/>
  <c r="Q26" i="9"/>
  <c r="P153" i="9"/>
  <c r="O46" i="9"/>
  <c r="N93" i="9"/>
  <c r="N71" i="9"/>
  <c r="AE116" i="9"/>
  <c r="Q134" i="9"/>
  <c r="AF137" i="9"/>
  <c r="N141" i="9"/>
  <c r="AH116" i="9"/>
  <c r="M110" i="9"/>
  <c r="M131" i="9"/>
  <c r="N116" i="9"/>
  <c r="Z116" i="9" s="1"/>
  <c r="O144" i="9"/>
  <c r="AE66" i="9"/>
  <c r="AQ66" i="9" s="1"/>
  <c r="Q66" i="9"/>
  <c r="AC66" i="9" s="1"/>
  <c r="AF131" i="9"/>
  <c r="N87" i="9"/>
  <c r="P31" i="9"/>
  <c r="AB31" i="9" s="1"/>
  <c r="P84" i="9"/>
  <c r="N26" i="9"/>
  <c r="AF112" i="9"/>
  <c r="M137" i="9"/>
  <c r="P35" i="9"/>
  <c r="O65" i="9"/>
  <c r="M41" i="9"/>
  <c r="O29" i="9"/>
  <c r="O112" i="9"/>
  <c r="AE136" i="9"/>
  <c r="Q120" i="9"/>
  <c r="P30" i="9"/>
  <c r="O59" i="9"/>
  <c r="M115" i="9"/>
  <c r="O43" i="9"/>
  <c r="AH138" i="9"/>
  <c r="AI132" i="9"/>
  <c r="M141" i="9"/>
  <c r="Q65" i="9"/>
  <c r="O85" i="9"/>
  <c r="M85" i="9"/>
  <c r="P80" i="9"/>
  <c r="AE134" i="9"/>
  <c r="M27" i="9"/>
  <c r="AH132" i="9"/>
  <c r="P139" i="9"/>
  <c r="N130" i="9"/>
  <c r="N27" i="9"/>
  <c r="M84" i="9"/>
  <c r="M52" i="9"/>
  <c r="Q52" i="9"/>
  <c r="P99" i="9"/>
  <c r="P74" i="9"/>
  <c r="O41" i="9"/>
  <c r="N126" i="9"/>
  <c r="N65" i="9"/>
  <c r="AI116" i="9"/>
  <c r="AG134" i="9"/>
  <c r="S84" i="20"/>
  <c r="G104" i="14"/>
  <c r="K104" i="14"/>
  <c r="I50" i="1"/>
  <c r="I171" i="1" s="1"/>
  <c r="I113" i="1"/>
  <c r="I124" i="1" s="1"/>
  <c r="I127" i="1" s="1"/>
  <c r="I14" i="1"/>
  <c r="F119" i="14"/>
  <c r="E119" i="14"/>
  <c r="J82" i="20"/>
  <c r="E282" i="1"/>
  <c r="E285" i="1" s="1"/>
  <c r="J113" i="1"/>
  <c r="J52" i="14"/>
  <c r="C52" i="14" s="1"/>
  <c r="J168" i="1"/>
  <c r="J118" i="1"/>
  <c r="H178" i="1"/>
  <c r="H181" i="1"/>
  <c r="H188" i="1"/>
  <c r="H189" i="1" s="1"/>
  <c r="H196" i="1" s="1"/>
  <c r="H202" i="1" s="1"/>
  <c r="E56" i="14"/>
  <c r="E64" i="14" s="1"/>
  <c r="H135" i="1"/>
  <c r="H136" i="1" s="1"/>
  <c r="H143" i="1" s="1"/>
  <c r="H149" i="1" s="1"/>
  <c r="H128" i="1"/>
  <c r="K56" i="14"/>
  <c r="K64" i="14" s="1"/>
  <c r="C173" i="1"/>
  <c r="I72" i="14"/>
  <c r="C72" i="14" s="1"/>
  <c r="C121" i="1"/>
  <c r="D302" i="1"/>
  <c r="AB56" i="10"/>
  <c r="AB57" i="10" s="1"/>
  <c r="AG55" i="10"/>
  <c r="F16" i="7" s="1"/>
  <c r="G16" i="7" s="1"/>
  <c r="T56" i="10"/>
  <c r="V110" i="20"/>
  <c r="V83" i="20"/>
  <c r="R111" i="20"/>
  <c r="V111" i="20"/>
  <c r="BN125" i="9"/>
  <c r="BT125" i="9" s="1"/>
  <c r="BT48" i="9"/>
  <c r="BN123" i="9"/>
  <c r="BT123" i="9" s="1"/>
  <c r="T64" i="10"/>
  <c r="C17" i="7"/>
  <c r="C16" i="7"/>
  <c r="S64" i="10"/>
  <c r="V66" i="20"/>
  <c r="E164" i="1"/>
  <c r="C164" i="1" s="1"/>
  <c r="Q136" i="1"/>
  <c r="S136" i="1"/>
  <c r="I37" i="1"/>
  <c r="I40" i="1" s="1"/>
  <c r="I43" i="1" s="1"/>
  <c r="I46" i="1" s="1"/>
  <c r="G64" i="14"/>
  <c r="G282" i="1"/>
  <c r="O83" i="20"/>
  <c r="O84" i="20"/>
  <c r="N15" i="20"/>
  <c r="J15" i="20" s="1"/>
  <c r="H27" i="44" s="1"/>
  <c r="H29" i="44" s="1"/>
  <c r="J29" i="44" s="1"/>
  <c r="L29" i="44" s="1"/>
  <c r="M29" i="44" s="1"/>
  <c r="G274" i="1"/>
  <c r="C115" i="1"/>
  <c r="D125" i="1"/>
  <c r="D166" i="1"/>
  <c r="D104" i="14" s="1"/>
  <c r="C230" i="1"/>
  <c r="E230" i="1" s="1"/>
  <c r="H221" i="1"/>
  <c r="I221" i="1" s="1"/>
  <c r="H282" i="1"/>
  <c r="I282" i="1" s="1"/>
  <c r="F275" i="1"/>
  <c r="H275" i="1" s="1"/>
  <c r="I275" i="1" s="1"/>
  <c r="I277" i="1" s="1"/>
  <c r="G124" i="1"/>
  <c r="I50" i="14"/>
  <c r="I166" i="1"/>
  <c r="K100" i="14"/>
  <c r="F252" i="1"/>
  <c r="K124" i="1"/>
  <c r="K67" i="1" s="1"/>
  <c r="C111" i="1"/>
  <c r="G170" i="1"/>
  <c r="K177" i="1"/>
  <c r="F231" i="1"/>
  <c r="G231" i="1" s="1"/>
  <c r="F283" i="1"/>
  <c r="G283" i="1" s="1"/>
  <c r="W60" i="20" l="1"/>
  <c r="R61" i="20"/>
  <c r="V61" i="20"/>
  <c r="S61" i="20"/>
  <c r="W54" i="20"/>
  <c r="V62" i="20"/>
  <c r="R62" i="20"/>
  <c r="V60" i="20"/>
  <c r="S60" i="20"/>
  <c r="R60" i="20"/>
  <c r="M62" i="20"/>
  <c r="W62" i="20" s="1"/>
  <c r="S54" i="20"/>
  <c r="V54" i="20"/>
  <c r="R54" i="20"/>
  <c r="M61" i="20"/>
  <c r="S62" i="20"/>
  <c r="M15" i="20"/>
  <c r="X15" i="20" s="1"/>
  <c r="V15" i="20"/>
  <c r="B97" i="5"/>
  <c r="R7" i="9"/>
  <c r="Q105" i="9"/>
  <c r="AV76" i="9"/>
  <c r="AW76" i="9" s="1"/>
  <c r="AV47" i="9"/>
  <c r="AW47" i="9" s="1"/>
  <c r="AV53" i="9"/>
  <c r="AW53" i="9" s="1"/>
  <c r="AV75" i="9"/>
  <c r="AW75" i="9" s="1"/>
  <c r="C168" i="1"/>
  <c r="I57" i="14"/>
  <c r="I71" i="14" s="1"/>
  <c r="R96" i="9"/>
  <c r="AV57" i="9"/>
  <c r="AW57" i="9" s="1"/>
  <c r="AV44" i="9"/>
  <c r="AW44" i="9" s="1"/>
  <c r="AV39" i="9"/>
  <c r="AW39" i="9" s="1"/>
  <c r="Z79" i="9"/>
  <c r="AF79" i="9"/>
  <c r="AR79" i="9" s="1"/>
  <c r="AG79" i="9"/>
  <c r="AS79" i="9" s="1"/>
  <c r="AA79" i="9"/>
  <c r="AH79" i="9"/>
  <c r="AT79" i="9" s="1"/>
  <c r="AB79" i="9"/>
  <c r="AI79" i="9"/>
  <c r="AU79" i="9" s="1"/>
  <c r="AC79" i="9"/>
  <c r="Y79" i="9"/>
  <c r="R79" i="9"/>
  <c r="AE79" i="9"/>
  <c r="AQ79" i="9" s="1"/>
  <c r="AV63" i="9"/>
  <c r="AW63" i="9" s="1"/>
  <c r="R131" i="9"/>
  <c r="AV31" i="9"/>
  <c r="AW31" i="9" s="1"/>
  <c r="R141" i="9"/>
  <c r="AV114" i="9"/>
  <c r="AV92" i="9"/>
  <c r="AW92" i="9" s="1"/>
  <c r="R56" i="9"/>
  <c r="AB56" i="9"/>
  <c r="R132" i="9"/>
  <c r="AV50" i="9"/>
  <c r="AW50" i="9" s="1"/>
  <c r="AV42" i="9"/>
  <c r="AW42" i="9" s="1"/>
  <c r="R137" i="9"/>
  <c r="Y52" i="9"/>
  <c r="R52" i="9"/>
  <c r="AE52" i="9"/>
  <c r="AQ52" i="9" s="1"/>
  <c r="R84" i="9"/>
  <c r="Y84" i="9"/>
  <c r="AE84" i="9"/>
  <c r="AQ84" i="9" s="1"/>
  <c r="AG43" i="9"/>
  <c r="AS43" i="9" s="1"/>
  <c r="AA43" i="9"/>
  <c r="AE41" i="9"/>
  <c r="AQ41" i="9" s="1"/>
  <c r="Y41" i="9"/>
  <c r="R41" i="9"/>
  <c r="R110" i="9"/>
  <c r="Z93" i="9"/>
  <c r="AR93" i="9"/>
  <c r="AC130" i="9"/>
  <c r="AI130" i="9"/>
  <c r="AU130" i="9" s="1"/>
  <c r="AB88" i="9"/>
  <c r="AH88" i="9"/>
  <c r="AT88" i="9" s="1"/>
  <c r="R68" i="9"/>
  <c r="Y68" i="9"/>
  <c r="AE68" i="9"/>
  <c r="AQ68" i="9" s="1"/>
  <c r="AG119" i="9"/>
  <c r="AS119" i="9" s="1"/>
  <c r="AA119" i="9"/>
  <c r="AB71" i="9"/>
  <c r="AH71" i="9"/>
  <c r="AT71" i="9" s="1"/>
  <c r="Z98" i="9"/>
  <c r="AR98" i="9"/>
  <c r="AA130" i="9"/>
  <c r="AG130" i="9"/>
  <c r="AS130" i="9" s="1"/>
  <c r="Z62" i="9"/>
  <c r="AF62" i="9"/>
  <c r="AR62" i="9" s="1"/>
  <c r="AB119" i="9"/>
  <c r="AH119" i="9"/>
  <c r="AT119" i="9" s="1"/>
  <c r="R153" i="9"/>
  <c r="AE153" i="9"/>
  <c r="AQ153" i="9" s="1"/>
  <c r="Y153" i="9"/>
  <c r="AA54" i="9"/>
  <c r="AG54" i="9"/>
  <c r="AS54" i="9" s="1"/>
  <c r="AI35" i="9"/>
  <c r="AU35" i="9" s="1"/>
  <c r="AC35" i="9"/>
  <c r="AG86" i="9"/>
  <c r="AS86" i="9" s="1"/>
  <c r="AA86" i="9"/>
  <c r="Z46" i="9"/>
  <c r="AF46" i="9"/>
  <c r="AR46" i="9" s="1"/>
  <c r="AC54" i="9"/>
  <c r="AI54" i="9"/>
  <c r="AU54" i="9" s="1"/>
  <c r="Z152" i="9"/>
  <c r="AF152" i="9"/>
  <c r="AR152" i="9" s="1"/>
  <c r="AA126" i="9"/>
  <c r="AG126" i="9"/>
  <c r="AS126" i="9" s="1"/>
  <c r="AA153" i="9"/>
  <c r="AG153" i="9"/>
  <c r="AS153" i="9" s="1"/>
  <c r="AB117" i="9"/>
  <c r="AH117" i="9"/>
  <c r="AT117" i="9" s="1"/>
  <c r="AU98" i="9"/>
  <c r="AC43" i="9"/>
  <c r="AI43" i="9"/>
  <c r="AU43" i="9" s="1"/>
  <c r="AB93" i="9"/>
  <c r="AT93" i="9"/>
  <c r="R49" i="9"/>
  <c r="Y49" i="9"/>
  <c r="AE49" i="9"/>
  <c r="AQ49" i="9" s="1"/>
  <c r="AF85" i="9"/>
  <c r="AR85" i="9" s="1"/>
  <c r="Z85" i="9"/>
  <c r="AR99" i="9"/>
  <c r="Z99" i="9"/>
  <c r="AV72" i="9"/>
  <c r="AW72" i="9" s="1"/>
  <c r="AG123" i="9"/>
  <c r="AS123" i="9" s="1"/>
  <c r="AA123" i="9"/>
  <c r="R21" i="9"/>
  <c r="Y21" i="9"/>
  <c r="R128" i="9"/>
  <c r="AC48" i="9"/>
  <c r="AI48" i="9"/>
  <c r="AU48" i="9" s="1"/>
  <c r="AI78" i="9"/>
  <c r="AU78" i="9" s="1"/>
  <c r="AC78" i="9"/>
  <c r="Y69" i="9"/>
  <c r="R69" i="9"/>
  <c r="AB45" i="9"/>
  <c r="AH45" i="9"/>
  <c r="AT45" i="9" s="1"/>
  <c r="Z78" i="9"/>
  <c r="AF78" i="9"/>
  <c r="AR78" i="9" s="1"/>
  <c r="Y19" i="9"/>
  <c r="R19" i="9"/>
  <c r="Y9" i="9"/>
  <c r="R9" i="9"/>
  <c r="AI77" i="9"/>
  <c r="AU77" i="9" s="1"/>
  <c r="AC77" i="9"/>
  <c r="AV91" i="9"/>
  <c r="AW91" i="9" s="1"/>
  <c r="AV66" i="9"/>
  <c r="AW66" i="9" s="1"/>
  <c r="Z45" i="9"/>
  <c r="AF45" i="9"/>
  <c r="AR45" i="9" s="1"/>
  <c r="R36" i="9"/>
  <c r="Y36" i="9"/>
  <c r="AA4" i="9"/>
  <c r="O105" i="9"/>
  <c r="AT4" i="9"/>
  <c r="Z125" i="9"/>
  <c r="AF125" i="9"/>
  <c r="AR125" i="9" s="1"/>
  <c r="AR4" i="9"/>
  <c r="AI73" i="9"/>
  <c r="AU73" i="9" s="1"/>
  <c r="AC73" i="9"/>
  <c r="R94" i="9"/>
  <c r="AQ94" i="9"/>
  <c r="Y94" i="9"/>
  <c r="AC129" i="9"/>
  <c r="AI129" i="9"/>
  <c r="AU129" i="9" s="1"/>
  <c r="AQ4" i="9"/>
  <c r="Z27" i="9"/>
  <c r="AF27" i="9"/>
  <c r="AR27" i="9" s="1"/>
  <c r="AF87" i="9"/>
  <c r="AR87" i="9" s="1"/>
  <c r="Z87" i="9"/>
  <c r="Z29" i="9"/>
  <c r="AF29" i="9"/>
  <c r="AR29" i="9" s="1"/>
  <c r="AA71" i="9"/>
  <c r="AG71" i="9"/>
  <c r="AS71" i="9" s="1"/>
  <c r="AB46" i="9"/>
  <c r="AH46" i="9"/>
  <c r="AT46" i="9" s="1"/>
  <c r="AC93" i="9"/>
  <c r="AU93" i="9"/>
  <c r="AA115" i="9"/>
  <c r="AG115" i="9"/>
  <c r="AS115" i="9" s="1"/>
  <c r="AB100" i="9"/>
  <c r="AT100" i="9"/>
  <c r="R83" i="9"/>
  <c r="AE83" i="9"/>
  <c r="AQ83" i="9" s="1"/>
  <c r="Y83" i="9"/>
  <c r="R82" i="9"/>
  <c r="Y82" i="9"/>
  <c r="AE82" i="9"/>
  <c r="AQ82" i="9" s="1"/>
  <c r="AB83" i="9"/>
  <c r="AH83" i="9"/>
  <c r="AT83" i="9" s="1"/>
  <c r="Z115" i="9"/>
  <c r="AF115" i="9"/>
  <c r="AR115" i="9" s="1"/>
  <c r="AA84" i="9"/>
  <c r="AG84" i="9"/>
  <c r="AS84" i="9" s="1"/>
  <c r="AC117" i="9"/>
  <c r="AI117" i="9"/>
  <c r="AU117" i="9" s="1"/>
  <c r="Z153" i="9"/>
  <c r="AF153" i="9"/>
  <c r="AR153" i="9" s="1"/>
  <c r="AA27" i="9"/>
  <c r="AG27" i="9"/>
  <c r="AS27" i="9" s="1"/>
  <c r="AV58" i="9"/>
  <c r="AW58" i="9" s="1"/>
  <c r="AA88" i="9"/>
  <c r="AG88" i="9"/>
  <c r="AS88" i="9" s="1"/>
  <c r="AC68" i="9"/>
  <c r="AI68" i="9"/>
  <c r="AU68" i="9" s="1"/>
  <c r="AC71" i="9"/>
  <c r="AI71" i="9"/>
  <c r="AU71" i="9" s="1"/>
  <c r="AB87" i="9"/>
  <c r="AH87" i="9"/>
  <c r="AT87" i="9" s="1"/>
  <c r="AA118" i="9"/>
  <c r="AG118" i="9"/>
  <c r="AS118" i="9" s="1"/>
  <c r="AG38" i="9"/>
  <c r="AS38" i="9" s="1"/>
  <c r="AA38" i="9"/>
  <c r="Y124" i="9"/>
  <c r="R124" i="9"/>
  <c r="R43" i="9"/>
  <c r="Y43" i="9"/>
  <c r="AE43" i="9"/>
  <c r="AQ43" i="9" s="1"/>
  <c r="AF74" i="9"/>
  <c r="AR74" i="9" s="1"/>
  <c r="Z74" i="9"/>
  <c r="AG26" i="9"/>
  <c r="AS26" i="9" s="1"/>
  <c r="AA26" i="9"/>
  <c r="AI84" i="9"/>
  <c r="AU84" i="9" s="1"/>
  <c r="AC84" i="9"/>
  <c r="AB37" i="9"/>
  <c r="AH37" i="9"/>
  <c r="AT37" i="9" s="1"/>
  <c r="Y44" i="9"/>
  <c r="R44" i="9"/>
  <c r="AF64" i="9"/>
  <c r="AR64" i="9" s="1"/>
  <c r="Z64" i="9"/>
  <c r="AS94" i="9"/>
  <c r="R48" i="9"/>
  <c r="Y48" i="9"/>
  <c r="AE48" i="9"/>
  <c r="AQ48" i="9" s="1"/>
  <c r="AA121" i="9"/>
  <c r="AG121" i="9"/>
  <c r="AS121" i="9" s="1"/>
  <c r="R122" i="9"/>
  <c r="Y122" i="9"/>
  <c r="AQ96" i="9"/>
  <c r="Y96" i="9"/>
  <c r="AV55" i="9"/>
  <c r="AW55" i="9" s="1"/>
  <c r="AG48" i="9"/>
  <c r="AS48" i="9" s="1"/>
  <c r="AA48" i="9"/>
  <c r="AA68" i="9"/>
  <c r="AG68" i="9"/>
  <c r="AS68" i="9" s="1"/>
  <c r="AC40" i="9"/>
  <c r="AI40" i="9"/>
  <c r="AU40" i="9" s="1"/>
  <c r="AC4" i="9"/>
  <c r="AC64" i="9"/>
  <c r="AI64" i="9"/>
  <c r="AU64" i="9" s="1"/>
  <c r="AU94" i="9"/>
  <c r="AH77" i="9"/>
  <c r="AT77" i="9" s="1"/>
  <c r="AB77" i="9"/>
  <c r="AB99" i="9"/>
  <c r="AT99" i="9"/>
  <c r="AB80" i="9"/>
  <c r="AH80" i="9"/>
  <c r="AT80" i="9" s="1"/>
  <c r="Z126" i="9"/>
  <c r="AF126" i="9"/>
  <c r="AR126" i="9" s="1"/>
  <c r="Z130" i="9"/>
  <c r="AF130" i="9"/>
  <c r="AR130" i="9" s="1"/>
  <c r="R85" i="9"/>
  <c r="AE85" i="9"/>
  <c r="AQ85" i="9" s="1"/>
  <c r="Y85" i="9"/>
  <c r="AA59" i="9"/>
  <c r="AG59" i="9"/>
  <c r="AS59" i="9" s="1"/>
  <c r="AB35" i="9"/>
  <c r="AH35" i="9"/>
  <c r="AT35" i="9" s="1"/>
  <c r="AB153" i="9"/>
  <c r="AH153" i="9"/>
  <c r="AT153" i="9" s="1"/>
  <c r="AA120" i="9"/>
  <c r="AG120" i="9"/>
  <c r="AS120" i="9" s="1"/>
  <c r="AB41" i="9"/>
  <c r="AH41" i="9"/>
  <c r="AT41" i="9" s="1"/>
  <c r="AU99" i="9"/>
  <c r="AB82" i="9"/>
  <c r="AH82" i="9"/>
  <c r="AT82" i="9" s="1"/>
  <c r="Z41" i="9"/>
  <c r="AF41" i="9"/>
  <c r="AR41" i="9" s="1"/>
  <c r="AA80" i="9"/>
  <c r="AG80" i="9"/>
  <c r="AS80" i="9" s="1"/>
  <c r="AB54" i="9"/>
  <c r="AH54" i="9"/>
  <c r="AT54" i="9" s="1"/>
  <c r="AC29" i="9"/>
  <c r="AI29" i="9"/>
  <c r="AU29" i="9" s="1"/>
  <c r="AE118" i="9"/>
  <c r="AQ118" i="9" s="1"/>
  <c r="Y118" i="9"/>
  <c r="R118" i="9"/>
  <c r="AH152" i="9"/>
  <c r="AT152" i="9" s="1"/>
  <c r="AB152" i="9"/>
  <c r="R53" i="9"/>
  <c r="Y53" i="9"/>
  <c r="AH32" i="9"/>
  <c r="AT32" i="9" s="1"/>
  <c r="AB32" i="9"/>
  <c r="AC62" i="9"/>
  <c r="AI62" i="9"/>
  <c r="AU62" i="9" s="1"/>
  <c r="AC38" i="9"/>
  <c r="AI38" i="9"/>
  <c r="AU38" i="9" s="1"/>
  <c r="R112" i="9"/>
  <c r="AI88" i="9"/>
  <c r="AU88" i="9" s="1"/>
  <c r="AC88" i="9"/>
  <c r="Y80" i="9"/>
  <c r="R80" i="9"/>
  <c r="AE80" i="9"/>
  <c r="AQ80" i="9" s="1"/>
  <c r="AG32" i="9"/>
  <c r="AS32" i="9" s="1"/>
  <c r="AA32" i="9"/>
  <c r="Z120" i="9"/>
  <c r="AF120" i="9"/>
  <c r="AR120" i="9" s="1"/>
  <c r="AI41" i="9"/>
  <c r="AU41" i="9" s="1"/>
  <c r="AC41" i="9"/>
  <c r="Z100" i="9"/>
  <c r="AR100" i="9"/>
  <c r="Z59" i="9"/>
  <c r="AF59" i="9"/>
  <c r="AR59" i="9" s="1"/>
  <c r="Y100" i="9"/>
  <c r="R100" i="9"/>
  <c r="AQ100" i="9"/>
  <c r="AB59" i="9"/>
  <c r="AH59" i="9"/>
  <c r="AT59" i="9" s="1"/>
  <c r="R30" i="9"/>
  <c r="AE30" i="9"/>
  <c r="AQ30" i="9" s="1"/>
  <c r="Y30" i="9"/>
  <c r="R45" i="9"/>
  <c r="AE45" i="9"/>
  <c r="AQ45" i="9" s="1"/>
  <c r="Y45" i="9"/>
  <c r="AA81" i="9"/>
  <c r="AG81" i="9"/>
  <c r="AS81" i="9" s="1"/>
  <c r="R55" i="9"/>
  <c r="Y55" i="9"/>
  <c r="AH67" i="9"/>
  <c r="AT67" i="9" s="1"/>
  <c r="AB67" i="9"/>
  <c r="AH125" i="9"/>
  <c r="AT125" i="9" s="1"/>
  <c r="AB125" i="9"/>
  <c r="Y24" i="9"/>
  <c r="R24" i="9"/>
  <c r="R18" i="9"/>
  <c r="Y18" i="9"/>
  <c r="Z4" i="9"/>
  <c r="N105" i="9"/>
  <c r="AE125" i="9"/>
  <c r="AQ125" i="9" s="1"/>
  <c r="R125" i="9"/>
  <c r="Y125" i="9"/>
  <c r="Z35" i="9"/>
  <c r="AF35" i="9"/>
  <c r="AR35" i="9" s="1"/>
  <c r="AB48" i="9"/>
  <c r="AH48" i="9"/>
  <c r="AT48" i="9" s="1"/>
  <c r="AC67" i="9"/>
  <c r="AI67" i="9"/>
  <c r="AU67" i="9" s="1"/>
  <c r="AB94" i="9"/>
  <c r="AT94" i="9"/>
  <c r="R6" i="9"/>
  <c r="Y6" i="9"/>
  <c r="R127" i="9"/>
  <c r="Y127" i="9"/>
  <c r="AE127" i="9"/>
  <c r="AQ127" i="9" s="1"/>
  <c r="R91" i="9"/>
  <c r="Y11" i="9"/>
  <c r="R11" i="9"/>
  <c r="R115" i="9"/>
  <c r="Y115" i="9"/>
  <c r="AE115" i="9"/>
  <c r="AQ115" i="9" s="1"/>
  <c r="AA46" i="9"/>
  <c r="AG46" i="9"/>
  <c r="AS46" i="9" s="1"/>
  <c r="AA85" i="9"/>
  <c r="AG85" i="9"/>
  <c r="AS85" i="9" s="1"/>
  <c r="AB30" i="9"/>
  <c r="AH30" i="9"/>
  <c r="AT30" i="9" s="1"/>
  <c r="AI26" i="9"/>
  <c r="AU26" i="9" s="1"/>
  <c r="AC26" i="9"/>
  <c r="Z117" i="9"/>
  <c r="AF117" i="9"/>
  <c r="AR117" i="9" s="1"/>
  <c r="AI119" i="9"/>
  <c r="AU119" i="9" s="1"/>
  <c r="AC119" i="9"/>
  <c r="Y58" i="9"/>
  <c r="R58" i="9"/>
  <c r="AC152" i="9"/>
  <c r="AI152" i="9"/>
  <c r="AU152" i="9" s="1"/>
  <c r="Z118" i="9"/>
  <c r="AF118" i="9"/>
  <c r="AR118" i="9" s="1"/>
  <c r="AB115" i="9"/>
  <c r="AH115" i="9"/>
  <c r="AT115" i="9" s="1"/>
  <c r="R29" i="9"/>
  <c r="Y29" i="9"/>
  <c r="AE29" i="9"/>
  <c r="AQ29" i="9" s="1"/>
  <c r="AI86" i="9"/>
  <c r="AU86" i="9" s="1"/>
  <c r="AC86" i="9"/>
  <c r="R140" i="9"/>
  <c r="AB85" i="9"/>
  <c r="AH85" i="9"/>
  <c r="AT85" i="9" s="1"/>
  <c r="AB118" i="9"/>
  <c r="AH118" i="9"/>
  <c r="AT118" i="9" s="1"/>
  <c r="AC126" i="9"/>
  <c r="AI126" i="9"/>
  <c r="AU126" i="9" s="1"/>
  <c r="Y38" i="9"/>
  <c r="R38" i="9"/>
  <c r="AE38" i="9"/>
  <c r="AQ38" i="9" s="1"/>
  <c r="Z82" i="9"/>
  <c r="AF82" i="9"/>
  <c r="AR82" i="9" s="1"/>
  <c r="AI27" i="9"/>
  <c r="AU27" i="9" s="1"/>
  <c r="AC27" i="9"/>
  <c r="AH26" i="9"/>
  <c r="AT26" i="9" s="1"/>
  <c r="AB26" i="9"/>
  <c r="Y98" i="9"/>
  <c r="R98" i="9"/>
  <c r="AQ98" i="9"/>
  <c r="AG49" i="9"/>
  <c r="AS49" i="9" s="1"/>
  <c r="AA49" i="9"/>
  <c r="AI115" i="9"/>
  <c r="AU115" i="9" s="1"/>
  <c r="AC115" i="9"/>
  <c r="Z52" i="9"/>
  <c r="AF52" i="9"/>
  <c r="AR52" i="9" s="1"/>
  <c r="Z88" i="9"/>
  <c r="AF88" i="9"/>
  <c r="AR88" i="9" s="1"/>
  <c r="AB130" i="9"/>
  <c r="AH130" i="9"/>
  <c r="AT130" i="9" s="1"/>
  <c r="R74" i="9"/>
  <c r="Y74" i="9"/>
  <c r="AE74" i="9"/>
  <c r="AQ74" i="9" s="1"/>
  <c r="AB28" i="9"/>
  <c r="AH28" i="9"/>
  <c r="AT28" i="9" s="1"/>
  <c r="R136" i="9"/>
  <c r="R144" i="9"/>
  <c r="AH64" i="9"/>
  <c r="AT64" i="9" s="1"/>
  <c r="AB64" i="9"/>
  <c r="Y25" i="9"/>
  <c r="R25" i="9"/>
  <c r="R15" i="9"/>
  <c r="Y15" i="9"/>
  <c r="AI46" i="9"/>
  <c r="AU46" i="9" s="1"/>
  <c r="AC46" i="9"/>
  <c r="R70" i="9"/>
  <c r="Y70" i="9"/>
  <c r="AE70" i="9"/>
  <c r="AQ70" i="9" s="1"/>
  <c r="Y14" i="9"/>
  <c r="R14" i="9"/>
  <c r="AG64" i="9"/>
  <c r="AS64" i="9" s="1"/>
  <c r="AA64" i="9"/>
  <c r="AB96" i="9"/>
  <c r="AT96" i="9"/>
  <c r="R20" i="9"/>
  <c r="Y20" i="9"/>
  <c r="R146" i="9"/>
  <c r="AB40" i="9"/>
  <c r="AH40" i="9"/>
  <c r="AT40" i="9" s="1"/>
  <c r="AV36" i="9"/>
  <c r="AW36" i="9" s="1"/>
  <c r="R95" i="9"/>
  <c r="AH70" i="9"/>
  <c r="AT70" i="9" s="1"/>
  <c r="AB70" i="9"/>
  <c r="AC121" i="9"/>
  <c r="AI121" i="9"/>
  <c r="AU121" i="9" s="1"/>
  <c r="AB129" i="9"/>
  <c r="AH129" i="9"/>
  <c r="AT129" i="9" s="1"/>
  <c r="AI125" i="9"/>
  <c r="AU125" i="9" s="1"/>
  <c r="AC125" i="9"/>
  <c r="Z121" i="9"/>
  <c r="AF121" i="9"/>
  <c r="AR121" i="9" s="1"/>
  <c r="Y13" i="9"/>
  <c r="R13" i="9"/>
  <c r="R92" i="9"/>
  <c r="AF73" i="9"/>
  <c r="AR73" i="9" s="1"/>
  <c r="Z73" i="9"/>
  <c r="AC81" i="9"/>
  <c r="AI81" i="9"/>
  <c r="AU81" i="9" s="1"/>
  <c r="R47" i="9"/>
  <c r="Y47" i="9"/>
  <c r="Z65" i="9"/>
  <c r="AF65" i="9"/>
  <c r="AR65" i="9" s="1"/>
  <c r="AA65" i="9"/>
  <c r="AG65" i="9"/>
  <c r="AS65" i="9" s="1"/>
  <c r="AA41" i="9"/>
  <c r="AG41" i="9"/>
  <c r="AS41" i="9" s="1"/>
  <c r="AB74" i="9"/>
  <c r="AH74" i="9"/>
  <c r="AT74" i="9" s="1"/>
  <c r="AI65" i="9"/>
  <c r="AU65" i="9" s="1"/>
  <c r="AC65" i="9"/>
  <c r="AC120" i="9"/>
  <c r="AI120" i="9"/>
  <c r="AU120" i="9" s="1"/>
  <c r="R134" i="9"/>
  <c r="AF68" i="9"/>
  <c r="AR68" i="9" s="1"/>
  <c r="Z68" i="9"/>
  <c r="Y65" i="9"/>
  <c r="R65" i="9"/>
  <c r="AE65" i="9"/>
  <c r="AQ65" i="9" s="1"/>
  <c r="R138" i="9"/>
  <c r="R116" i="9"/>
  <c r="AC32" i="9"/>
  <c r="AI32" i="9"/>
  <c r="AU32" i="9" s="1"/>
  <c r="R113" i="9"/>
  <c r="Y119" i="9"/>
  <c r="R119" i="9"/>
  <c r="AE119" i="9"/>
  <c r="AQ119" i="9" s="1"/>
  <c r="AG152" i="9"/>
  <c r="AS152" i="9" s="1"/>
  <c r="AA152" i="9"/>
  <c r="AI30" i="9"/>
  <c r="AU30" i="9" s="1"/>
  <c r="AC30" i="9"/>
  <c r="Z43" i="9"/>
  <c r="AF43" i="9"/>
  <c r="AR43" i="9" s="1"/>
  <c r="Z80" i="9"/>
  <c r="AF80" i="9"/>
  <c r="AR80" i="9" s="1"/>
  <c r="Z86" i="9"/>
  <c r="AF86" i="9"/>
  <c r="AR86" i="9" s="1"/>
  <c r="Y54" i="9"/>
  <c r="R54" i="9"/>
  <c r="AE54" i="9"/>
  <c r="AQ54" i="9" s="1"/>
  <c r="Z49" i="9"/>
  <c r="AF49" i="9"/>
  <c r="AR49" i="9" s="1"/>
  <c r="AB49" i="9"/>
  <c r="AH49" i="9"/>
  <c r="AT49" i="9" s="1"/>
  <c r="AA35" i="9"/>
  <c r="AG35" i="9"/>
  <c r="AS35" i="9" s="1"/>
  <c r="AA82" i="9"/>
  <c r="AG82" i="9"/>
  <c r="AS82" i="9" s="1"/>
  <c r="AB27" i="9"/>
  <c r="AH27" i="9"/>
  <c r="AT27" i="9" s="1"/>
  <c r="AC87" i="9"/>
  <c r="AI87" i="9"/>
  <c r="AU87" i="9" s="1"/>
  <c r="R72" i="9"/>
  <c r="Y72" i="9"/>
  <c r="Z67" i="9"/>
  <c r="AF67" i="9"/>
  <c r="AR67" i="9" s="1"/>
  <c r="R78" i="9"/>
  <c r="AE78" i="9"/>
  <c r="AQ78" i="9" s="1"/>
  <c r="Y78" i="9"/>
  <c r="R129" i="9"/>
  <c r="Y129" i="9"/>
  <c r="AE129" i="9"/>
  <c r="AQ129" i="9" s="1"/>
  <c r="AC123" i="9"/>
  <c r="AI123" i="9"/>
  <c r="AU123" i="9" s="1"/>
  <c r="AB73" i="9"/>
  <c r="AH73" i="9"/>
  <c r="AT73" i="9" s="1"/>
  <c r="Z81" i="9"/>
  <c r="AF81" i="9"/>
  <c r="AR81" i="9" s="1"/>
  <c r="Y42" i="9"/>
  <c r="R42" i="9"/>
  <c r="AF70" i="9"/>
  <c r="AR70" i="9" s="1"/>
  <c r="Z70" i="9"/>
  <c r="AI45" i="9"/>
  <c r="AU45" i="9" s="1"/>
  <c r="AC45" i="9"/>
  <c r="Y39" i="9"/>
  <c r="R39" i="9"/>
  <c r="AV95" i="9"/>
  <c r="AW95" i="9" s="1"/>
  <c r="AG77" i="9"/>
  <c r="AS77" i="9" s="1"/>
  <c r="AA77" i="9"/>
  <c r="R63" i="9"/>
  <c r="Y63" i="9"/>
  <c r="AA67" i="9"/>
  <c r="AG67" i="9"/>
  <c r="AS67" i="9" s="1"/>
  <c r="R121" i="9"/>
  <c r="AE121" i="9"/>
  <c r="AQ121" i="9" s="1"/>
  <c r="Y121" i="9"/>
  <c r="R133" i="9"/>
  <c r="R77" i="9"/>
  <c r="AE77" i="9"/>
  <c r="AQ77" i="9" s="1"/>
  <c r="Y77" i="9"/>
  <c r="AF129" i="9"/>
  <c r="AR129" i="9" s="1"/>
  <c r="Z129" i="9"/>
  <c r="AC80" i="9"/>
  <c r="AI80" i="9"/>
  <c r="AU80" i="9" s="1"/>
  <c r="R145" i="9"/>
  <c r="Z123" i="9"/>
  <c r="AF123" i="9"/>
  <c r="AR123" i="9" s="1"/>
  <c r="AV51" i="9"/>
  <c r="AW51" i="9" s="1"/>
  <c r="R10" i="9"/>
  <c r="Y10" i="9"/>
  <c r="R27" i="9"/>
  <c r="Y27" i="9"/>
  <c r="AE27" i="9"/>
  <c r="AQ27" i="9" s="1"/>
  <c r="AA117" i="9"/>
  <c r="AG117" i="9"/>
  <c r="AS117" i="9" s="1"/>
  <c r="R59" i="9"/>
  <c r="AE59" i="9"/>
  <c r="AQ59" i="9" s="1"/>
  <c r="Y59" i="9"/>
  <c r="R139" i="9"/>
  <c r="R88" i="9"/>
  <c r="AE88" i="9"/>
  <c r="AQ88" i="9" s="1"/>
  <c r="Y88" i="9"/>
  <c r="AH29" i="9"/>
  <c r="AT29" i="9" s="1"/>
  <c r="AB29" i="9"/>
  <c r="Y32" i="9"/>
  <c r="AE32" i="9"/>
  <c r="AQ32" i="9" s="1"/>
  <c r="R32" i="9"/>
  <c r="AC59" i="9"/>
  <c r="AI59" i="9"/>
  <c r="AU59" i="9" s="1"/>
  <c r="AE152" i="9"/>
  <c r="AQ152" i="9" s="1"/>
  <c r="Y152" i="9"/>
  <c r="R152" i="9"/>
  <c r="AQ93" i="9"/>
  <c r="Y93" i="9"/>
  <c r="R93" i="9"/>
  <c r="Y35" i="9"/>
  <c r="R35" i="9"/>
  <c r="AE35" i="9"/>
  <c r="AQ35" i="9" s="1"/>
  <c r="AF38" i="9"/>
  <c r="AR38" i="9" s="1"/>
  <c r="Z38" i="9"/>
  <c r="AS98" i="9"/>
  <c r="AS99" i="9"/>
  <c r="AA30" i="9"/>
  <c r="AG30" i="9"/>
  <c r="AS30" i="9" s="1"/>
  <c r="AA74" i="9"/>
  <c r="AG74" i="9"/>
  <c r="AS74" i="9" s="1"/>
  <c r="AA100" i="9"/>
  <c r="AS100" i="9"/>
  <c r="AC83" i="9"/>
  <c r="AI83" i="9"/>
  <c r="AU83" i="9" s="1"/>
  <c r="Y31" i="9"/>
  <c r="R31" i="9"/>
  <c r="AB68" i="9"/>
  <c r="AH68" i="9"/>
  <c r="AT68" i="9" s="1"/>
  <c r="AC85" i="9"/>
  <c r="AI85" i="9"/>
  <c r="AU85" i="9" s="1"/>
  <c r="AI70" i="9"/>
  <c r="AU70" i="9" s="1"/>
  <c r="AC70" i="9"/>
  <c r="AB121" i="9"/>
  <c r="AH121" i="9"/>
  <c r="AT121" i="9" s="1"/>
  <c r="Y62" i="9"/>
  <c r="AE62" i="9"/>
  <c r="AQ62" i="9" s="1"/>
  <c r="R62" i="9"/>
  <c r="Z37" i="9"/>
  <c r="AF37" i="9"/>
  <c r="AR37" i="9" s="1"/>
  <c r="AS4" i="9"/>
  <c r="R123" i="9"/>
  <c r="Y123" i="9"/>
  <c r="AE123" i="9"/>
  <c r="AQ123" i="9" s="1"/>
  <c r="R5" i="9"/>
  <c r="Y5" i="9"/>
  <c r="R81" i="9"/>
  <c r="AE81" i="9"/>
  <c r="AQ81" i="9" s="1"/>
  <c r="Y81" i="9"/>
  <c r="AF48" i="9"/>
  <c r="AR48" i="9" s="1"/>
  <c r="Z48" i="9"/>
  <c r="R23" i="9"/>
  <c r="Y23" i="9"/>
  <c r="Y50" i="9"/>
  <c r="R50" i="9"/>
  <c r="AA127" i="9"/>
  <c r="AG127" i="9"/>
  <c r="AS127" i="9" s="1"/>
  <c r="AU96" i="9"/>
  <c r="R4" i="9"/>
  <c r="Y4" i="9"/>
  <c r="M105" i="9"/>
  <c r="AG73" i="9"/>
  <c r="AS73" i="9" s="1"/>
  <c r="AA73" i="9"/>
  <c r="AA129" i="9"/>
  <c r="AG129" i="9"/>
  <c r="AS129" i="9" s="1"/>
  <c r="AC127" i="9"/>
  <c r="AI127" i="9"/>
  <c r="AU127" i="9" s="1"/>
  <c r="AS96" i="9"/>
  <c r="Y37" i="9"/>
  <c r="R37" i="9"/>
  <c r="AE37" i="9"/>
  <c r="AQ37" i="9" s="1"/>
  <c r="R12" i="9"/>
  <c r="Y12" i="9"/>
  <c r="AC52" i="9"/>
  <c r="AI52" i="9"/>
  <c r="AU52" i="9" s="1"/>
  <c r="AF26" i="9"/>
  <c r="AR26" i="9" s="1"/>
  <c r="Z26" i="9"/>
  <c r="R86" i="9"/>
  <c r="Y86" i="9"/>
  <c r="AE86" i="9"/>
  <c r="AQ86" i="9" s="1"/>
  <c r="AG52" i="9"/>
  <c r="AS52" i="9" s="1"/>
  <c r="AA52" i="9"/>
  <c r="AE28" i="9"/>
  <c r="AQ28" i="9" s="1"/>
  <c r="Y28" i="9"/>
  <c r="R28" i="9"/>
  <c r="AA87" i="9"/>
  <c r="AG87" i="9"/>
  <c r="AS87" i="9" s="1"/>
  <c r="Z54" i="9"/>
  <c r="AF54" i="9"/>
  <c r="AR54" i="9" s="1"/>
  <c r="Y71" i="9"/>
  <c r="R71" i="9"/>
  <c r="AE71" i="9"/>
  <c r="AQ71" i="9" s="1"/>
  <c r="Y57" i="9"/>
  <c r="R57" i="9"/>
  <c r="AB126" i="9"/>
  <c r="AH126" i="9"/>
  <c r="AT126" i="9" s="1"/>
  <c r="AA83" i="9"/>
  <c r="AG83" i="9"/>
  <c r="AS83" i="9" s="1"/>
  <c r="AF84" i="9"/>
  <c r="AR84" i="9" s="1"/>
  <c r="AA62" i="9"/>
  <c r="AG62" i="9"/>
  <c r="AS62" i="9" s="1"/>
  <c r="AA93" i="9"/>
  <c r="AS93" i="9"/>
  <c r="AC153" i="9"/>
  <c r="AI153" i="9"/>
  <c r="AU153" i="9" s="1"/>
  <c r="AB62" i="9"/>
  <c r="AH62" i="9"/>
  <c r="AT62" i="9" s="1"/>
  <c r="AB52" i="9"/>
  <c r="AH52" i="9"/>
  <c r="AT52" i="9" s="1"/>
  <c r="AC82" i="9"/>
  <c r="AI82" i="9"/>
  <c r="AU82" i="9" s="1"/>
  <c r="AE73" i="9"/>
  <c r="AQ73" i="9" s="1"/>
  <c r="Y73" i="9"/>
  <c r="R73" i="9"/>
  <c r="AB38" i="9"/>
  <c r="AH38" i="9"/>
  <c r="AT38" i="9" s="1"/>
  <c r="R40" i="9"/>
  <c r="AE40" i="9"/>
  <c r="AQ40" i="9" s="1"/>
  <c r="Y40" i="9"/>
  <c r="AV69" i="9"/>
  <c r="AW69" i="9" s="1"/>
  <c r="AF32" i="9"/>
  <c r="AR32" i="9" s="1"/>
  <c r="AG37" i="9"/>
  <c r="AS37" i="9" s="1"/>
  <c r="AA37" i="9"/>
  <c r="AG125" i="9"/>
  <c r="AS125" i="9" s="1"/>
  <c r="AA125" i="9"/>
  <c r="AG78" i="9"/>
  <c r="AS78" i="9" s="1"/>
  <c r="AA78" i="9"/>
  <c r="AF77" i="9"/>
  <c r="AR77" i="9" s="1"/>
  <c r="Z77" i="9"/>
  <c r="AR96" i="9"/>
  <c r="AB4" i="9"/>
  <c r="P105" i="9"/>
  <c r="Y17" i="9"/>
  <c r="R17" i="9"/>
  <c r="Y7" i="9"/>
  <c r="AB123" i="9"/>
  <c r="AH123" i="9"/>
  <c r="AT123" i="9" s="1"/>
  <c r="R64" i="9"/>
  <c r="Y64" i="9"/>
  <c r="AE64" i="9"/>
  <c r="AQ64" i="9" s="1"/>
  <c r="AG29" i="9"/>
  <c r="AS29" i="9" s="1"/>
  <c r="AA29" i="9"/>
  <c r="AB84" i="9"/>
  <c r="AH84" i="9"/>
  <c r="AT84" i="9" s="1"/>
  <c r="Z71" i="9"/>
  <c r="AF71" i="9"/>
  <c r="AR71" i="9" s="1"/>
  <c r="AF28" i="9"/>
  <c r="AR28" i="9" s="1"/>
  <c r="Z28" i="9"/>
  <c r="R117" i="9"/>
  <c r="AE117" i="9"/>
  <c r="AQ117" i="9" s="1"/>
  <c r="Y117" i="9"/>
  <c r="Z119" i="9"/>
  <c r="AF119" i="9"/>
  <c r="AR119" i="9" s="1"/>
  <c r="Z30" i="9"/>
  <c r="AF30" i="9"/>
  <c r="AR30" i="9" s="1"/>
  <c r="AB65" i="9"/>
  <c r="AH65" i="9"/>
  <c r="AT65" i="9" s="1"/>
  <c r="R120" i="9"/>
  <c r="AE120" i="9"/>
  <c r="AQ120" i="9" s="1"/>
  <c r="Y120" i="9"/>
  <c r="Y130" i="9"/>
  <c r="R130" i="9"/>
  <c r="AE130" i="9"/>
  <c r="AQ130" i="9" s="1"/>
  <c r="AF83" i="9"/>
  <c r="AR83" i="9" s="1"/>
  <c r="Z83" i="9"/>
  <c r="AB86" i="9"/>
  <c r="AH86" i="9"/>
  <c r="AT86" i="9" s="1"/>
  <c r="R87" i="9"/>
  <c r="Y87" i="9"/>
  <c r="AE87" i="9"/>
  <c r="AQ87" i="9" s="1"/>
  <c r="R26" i="9"/>
  <c r="Y26" i="9"/>
  <c r="AE26" i="9"/>
  <c r="AQ26" i="9" s="1"/>
  <c r="AE126" i="9"/>
  <c r="AQ126" i="9" s="1"/>
  <c r="Y126" i="9"/>
  <c r="R126" i="9"/>
  <c r="AB98" i="9"/>
  <c r="AT98" i="9"/>
  <c r="Y99" i="9"/>
  <c r="R99" i="9"/>
  <c r="AQ99" i="9"/>
  <c r="AG28" i="9"/>
  <c r="AS28" i="9" s="1"/>
  <c r="AA28" i="9"/>
  <c r="AB43" i="9"/>
  <c r="AH43" i="9"/>
  <c r="AT43" i="9" s="1"/>
  <c r="AC74" i="9"/>
  <c r="AI74" i="9"/>
  <c r="AU74" i="9" s="1"/>
  <c r="R142" i="9"/>
  <c r="AB120" i="9"/>
  <c r="AH120" i="9"/>
  <c r="AT120" i="9" s="1"/>
  <c r="AC118" i="9"/>
  <c r="AI118" i="9"/>
  <c r="AU118" i="9" s="1"/>
  <c r="R135" i="9"/>
  <c r="AC49" i="9"/>
  <c r="AI49" i="9"/>
  <c r="AU49" i="9" s="1"/>
  <c r="AE46" i="9"/>
  <c r="AQ46" i="9" s="1"/>
  <c r="Y46" i="9"/>
  <c r="R46" i="9"/>
  <c r="AU100" i="9"/>
  <c r="AB127" i="9"/>
  <c r="AH127" i="9"/>
  <c r="AT127" i="9" s="1"/>
  <c r="Y148" i="9"/>
  <c r="R148" i="9"/>
  <c r="Y8" i="9"/>
  <c r="R8" i="9"/>
  <c r="AG45" i="9"/>
  <c r="AS45" i="9" s="1"/>
  <c r="AA45" i="9"/>
  <c r="Y76" i="9"/>
  <c r="R76" i="9"/>
  <c r="R97" i="9"/>
  <c r="AF40" i="9"/>
  <c r="AR40" i="9" s="1"/>
  <c r="Z40" i="9"/>
  <c r="Y66" i="9"/>
  <c r="R66" i="9"/>
  <c r="AG70" i="9"/>
  <c r="AS70" i="9" s="1"/>
  <c r="AA70" i="9"/>
  <c r="AR94" i="9"/>
  <c r="Z94" i="9"/>
  <c r="AG40" i="9"/>
  <c r="AS40" i="9" s="1"/>
  <c r="AA40" i="9"/>
  <c r="AU4" i="9"/>
  <c r="Y22" i="9"/>
  <c r="R22" i="9"/>
  <c r="AI28" i="9"/>
  <c r="AU28" i="9" s="1"/>
  <c r="AC28" i="9"/>
  <c r="Z127" i="9"/>
  <c r="AF127" i="9"/>
  <c r="AR127" i="9" s="1"/>
  <c r="Y147" i="9"/>
  <c r="R147" i="9"/>
  <c r="AC37" i="9"/>
  <c r="AI37" i="9"/>
  <c r="AU37" i="9" s="1"/>
  <c r="Y51" i="9"/>
  <c r="R51" i="9"/>
  <c r="Y16" i="9"/>
  <c r="R16" i="9"/>
  <c r="Y75" i="9"/>
  <c r="R75" i="9"/>
  <c r="R151" i="9"/>
  <c r="AE67" i="9"/>
  <c r="AQ67" i="9" s="1"/>
  <c r="R67" i="9"/>
  <c r="Y67" i="9"/>
  <c r="AB78" i="9"/>
  <c r="AH78" i="9"/>
  <c r="AT78" i="9" s="1"/>
  <c r="AB81" i="9"/>
  <c r="AH81" i="9"/>
  <c r="AT81" i="9" s="1"/>
  <c r="C118" i="1"/>
  <c r="J57" i="14"/>
  <c r="J71" i="14" s="1"/>
  <c r="J171" i="1"/>
  <c r="J101" i="14" s="1"/>
  <c r="J37" i="1"/>
  <c r="J40" i="1" s="1"/>
  <c r="J43" i="1" s="1"/>
  <c r="J46" i="1" s="1"/>
  <c r="J50" i="14"/>
  <c r="E71" i="14"/>
  <c r="H90" i="14"/>
  <c r="H103" i="14"/>
  <c r="H102" i="14"/>
  <c r="H89" i="14"/>
  <c r="E234" i="1"/>
  <c r="E235" i="1" s="1"/>
  <c r="K71" i="14"/>
  <c r="R15" i="20"/>
  <c r="T65" i="10"/>
  <c r="D16" i="7"/>
  <c r="I16" i="7" s="1"/>
  <c r="P58" i="18"/>
  <c r="F17" i="7"/>
  <c r="G17" i="7" s="1"/>
  <c r="E100" i="14"/>
  <c r="V82" i="20"/>
  <c r="G285" i="1"/>
  <c r="G286" i="1" s="1"/>
  <c r="I17" i="1"/>
  <c r="I20" i="1" s="1"/>
  <c r="R92" i="20"/>
  <c r="Q92" i="20"/>
  <c r="AH56" i="10"/>
  <c r="AH57" i="10" s="1"/>
  <c r="G275" i="1"/>
  <c r="G277" i="1" s="1"/>
  <c r="G278" i="1" s="1"/>
  <c r="G230" i="1"/>
  <c r="D177" i="1"/>
  <c r="K84" i="1"/>
  <c r="K178" i="1" s="1"/>
  <c r="K180" i="1" s="1"/>
  <c r="D127" i="1"/>
  <c r="D130" i="1" s="1"/>
  <c r="K125" i="1"/>
  <c r="K127" i="1" s="1"/>
  <c r="G67" i="1"/>
  <c r="G125" i="1" s="1"/>
  <c r="I55" i="14"/>
  <c r="I107" i="14" s="1"/>
  <c r="H230" i="1"/>
  <c r="H222" i="1"/>
  <c r="F223" i="1"/>
  <c r="G222" i="1"/>
  <c r="I88" i="14"/>
  <c r="I104" i="14"/>
  <c r="C100" i="14"/>
  <c r="G177" i="1"/>
  <c r="G101" i="14"/>
  <c r="C170" i="1"/>
  <c r="C64" i="14"/>
  <c r="F232" i="1"/>
  <c r="G232" i="1" s="1"/>
  <c r="D17" i="7"/>
  <c r="I101" i="14"/>
  <c r="I130" i="1"/>
  <c r="H283" i="1"/>
  <c r="I283" i="1" s="1"/>
  <c r="I285" i="1" s="1"/>
  <c r="H277" i="1"/>
  <c r="I278" i="1" s="1"/>
  <c r="Q61" i="20" l="1"/>
  <c r="W61" i="20"/>
  <c r="N22" i="20"/>
  <c r="J22" i="20" s="1"/>
  <c r="N28" i="20"/>
  <c r="J28" i="20" s="1"/>
  <c r="W15" i="20"/>
  <c r="Z105" i="9"/>
  <c r="Q106" i="9"/>
  <c r="Q107" i="9" s="1"/>
  <c r="D150" i="1"/>
  <c r="I17" i="7"/>
  <c r="AV79" i="9"/>
  <c r="AV126" i="9"/>
  <c r="AV117" i="9"/>
  <c r="AV48" i="9"/>
  <c r="AW48" i="9" s="1"/>
  <c r="AV40" i="9"/>
  <c r="AW40" i="9" s="1"/>
  <c r="AV96" i="9"/>
  <c r="AW96" i="9" s="1"/>
  <c r="AV93" i="9"/>
  <c r="AW93" i="9" s="1"/>
  <c r="AV30" i="9"/>
  <c r="AW30" i="9" s="1"/>
  <c r="AV84" i="9"/>
  <c r="AW84" i="9" s="1"/>
  <c r="AV43" i="9"/>
  <c r="AW43" i="9" s="1"/>
  <c r="AV35" i="9"/>
  <c r="AW35" i="9" s="1"/>
  <c r="AV59" i="9"/>
  <c r="AW59" i="9" s="1"/>
  <c r="AV29" i="9"/>
  <c r="AW29" i="9" s="1"/>
  <c r="AV26" i="9"/>
  <c r="AW26" i="9" s="1"/>
  <c r="AV54" i="9"/>
  <c r="AW54" i="9" s="1"/>
  <c r="AV65" i="9"/>
  <c r="AW65" i="9" s="1"/>
  <c r="AV88" i="9"/>
  <c r="AW88" i="9" s="1"/>
  <c r="AV152" i="9"/>
  <c r="AW152" i="9" s="1"/>
  <c r="AV37" i="9"/>
  <c r="AW37" i="9" s="1"/>
  <c r="AV38" i="9"/>
  <c r="AW38" i="9" s="1"/>
  <c r="AV81" i="9"/>
  <c r="AW81" i="9" s="1"/>
  <c r="AV52" i="9"/>
  <c r="AW52" i="9" s="1"/>
  <c r="AV85" i="9"/>
  <c r="AW85" i="9" s="1"/>
  <c r="AV130" i="9"/>
  <c r="AV32" i="9"/>
  <c r="AW32" i="9" s="1"/>
  <c r="AV68" i="9"/>
  <c r="AW68" i="9" s="1"/>
  <c r="AV98" i="9"/>
  <c r="AW98" i="9" s="1"/>
  <c r="AV67" i="9"/>
  <c r="AW67" i="9" s="1"/>
  <c r="AV100" i="9"/>
  <c r="AW100" i="9" s="1"/>
  <c r="AV46" i="9"/>
  <c r="AW46" i="9" s="1"/>
  <c r="AV62" i="9"/>
  <c r="AW62" i="9" s="1"/>
  <c r="AV77" i="9"/>
  <c r="AW77" i="9" s="1"/>
  <c r="AV123" i="9"/>
  <c r="AV80" i="9"/>
  <c r="AW80" i="9" s="1"/>
  <c r="AV119" i="9"/>
  <c r="AV121" i="9"/>
  <c r="AE105" i="9"/>
  <c r="AA105" i="9"/>
  <c r="AV99" i="9"/>
  <c r="AW99" i="9" s="1"/>
  <c r="AI105" i="9"/>
  <c r="AV28" i="9"/>
  <c r="AW28" i="9" s="1"/>
  <c r="Y105" i="9"/>
  <c r="AV49" i="9"/>
  <c r="AW49" i="9" s="1"/>
  <c r="AV74" i="9"/>
  <c r="AW74" i="9" s="1"/>
  <c r="AQ105" i="9"/>
  <c r="AF105" i="9"/>
  <c r="AU105" i="9"/>
  <c r="F15" i="7" s="1"/>
  <c r="G15" i="7" s="1"/>
  <c r="AV71" i="9"/>
  <c r="AW71" i="9" s="1"/>
  <c r="AB105" i="9"/>
  <c r="AV127" i="9"/>
  <c r="AV120" i="9"/>
  <c r="AV125" i="9"/>
  <c r="AV45" i="9"/>
  <c r="AW45" i="9" s="1"/>
  <c r="AV70" i="9"/>
  <c r="AW70" i="9" s="1"/>
  <c r="AV73" i="9"/>
  <c r="AW73" i="9" s="1"/>
  <c r="AV64" i="9"/>
  <c r="AW64" i="9" s="1"/>
  <c r="AR105" i="9"/>
  <c r="F12" i="7" s="1"/>
  <c r="G12" i="7" s="1"/>
  <c r="AG105" i="9"/>
  <c r="AV115" i="9"/>
  <c r="AV41" i="9"/>
  <c r="AW41" i="9" s="1"/>
  <c r="AV87" i="9"/>
  <c r="AW87" i="9" s="1"/>
  <c r="AH105" i="9"/>
  <c r="AV78" i="9"/>
  <c r="AW78" i="9" s="1"/>
  <c r="AV94" i="9"/>
  <c r="AW94" i="9" s="1"/>
  <c r="AV83" i="9"/>
  <c r="AW83" i="9" s="1"/>
  <c r="AS105" i="9"/>
  <c r="F13" i="7" s="1"/>
  <c r="G13" i="7" s="1"/>
  <c r="AV129" i="9"/>
  <c r="AV86" i="9"/>
  <c r="AW86" i="9" s="1"/>
  <c r="AV82" i="9"/>
  <c r="AW82" i="9" s="1"/>
  <c r="AV153" i="9"/>
  <c r="AW153" i="9" s="1"/>
  <c r="AV27" i="9"/>
  <c r="AW27" i="9" s="1"/>
  <c r="AT105" i="9"/>
  <c r="F14" i="7" s="1"/>
  <c r="G14" i="7" s="1"/>
  <c r="C171" i="1"/>
  <c r="C101" i="14" s="1"/>
  <c r="C71" i="14"/>
  <c r="J177" i="1"/>
  <c r="J180" i="1" s="1"/>
  <c r="J183" i="1" s="1"/>
  <c r="J203" i="1" s="1"/>
  <c r="J204" i="1" s="1"/>
  <c r="J212" i="1" s="1"/>
  <c r="J104" i="14"/>
  <c r="J55" i="14"/>
  <c r="J107" i="14" s="1"/>
  <c r="J88" i="14"/>
  <c r="G192" i="1"/>
  <c r="G139" i="1"/>
  <c r="C174" i="1"/>
  <c r="I89" i="14"/>
  <c r="I177" i="1"/>
  <c r="I180" i="1" s="1"/>
  <c r="I183" i="1" s="1"/>
  <c r="I203" i="1" s="1"/>
  <c r="P52" i="18"/>
  <c r="D84" i="1"/>
  <c r="D178" i="1" s="1"/>
  <c r="G234" i="1"/>
  <c r="G235" i="1" s="1"/>
  <c r="K188" i="1"/>
  <c r="K181" i="1"/>
  <c r="K89" i="14" s="1"/>
  <c r="G84" i="1"/>
  <c r="G178" i="1" s="1"/>
  <c r="G180" i="1" s="1"/>
  <c r="G135" i="1"/>
  <c r="K135" i="1"/>
  <c r="G127" i="1"/>
  <c r="K128" i="1"/>
  <c r="G128" i="1"/>
  <c r="H231" i="1"/>
  <c r="I231" i="1" s="1"/>
  <c r="I222" i="1"/>
  <c r="I230" i="1"/>
  <c r="H223" i="1"/>
  <c r="G223" i="1"/>
  <c r="G225" i="1" s="1"/>
  <c r="G226" i="1" s="1"/>
  <c r="I150" i="1"/>
  <c r="I152" i="1" s="1"/>
  <c r="I23" i="1"/>
  <c r="H285" i="1"/>
  <c r="I286" i="1" s="1"/>
  <c r="I200" i="1" s="1"/>
  <c r="R28" i="20" l="1"/>
  <c r="V28" i="20"/>
  <c r="S28" i="20"/>
  <c r="M28" i="20"/>
  <c r="Q28" i="20" s="1"/>
  <c r="S22" i="20"/>
  <c r="R22" i="20"/>
  <c r="V22" i="20"/>
  <c r="M22" i="20"/>
  <c r="Q22" i="20" s="1"/>
  <c r="D25" i="41"/>
  <c r="D25" i="42"/>
  <c r="L25" i="42" s="1"/>
  <c r="Q153" i="6"/>
  <c r="Y109" i="9"/>
  <c r="F11" i="7"/>
  <c r="G11" i="7" s="1"/>
  <c r="AU106" i="9"/>
  <c r="AI106" i="9"/>
  <c r="AI107" i="9" s="1"/>
  <c r="Z109" i="9"/>
  <c r="C12" i="7"/>
  <c r="C11" i="7"/>
  <c r="D11" i="7" s="1"/>
  <c r="C14" i="7"/>
  <c r="D14" i="7" s="1"/>
  <c r="I14" i="7" s="1"/>
  <c r="AB109" i="9"/>
  <c r="G21" i="7"/>
  <c r="P15" i="7"/>
  <c r="AA109" i="9"/>
  <c r="C13" i="7"/>
  <c r="D13" i="7" s="1"/>
  <c r="I13" i="7" s="1"/>
  <c r="J97" i="14"/>
  <c r="I204" i="1"/>
  <c r="I205" i="1"/>
  <c r="I211" i="1" s="1"/>
  <c r="Q52" i="18"/>
  <c r="G300" i="1"/>
  <c r="G301" i="1" s="1"/>
  <c r="D52" i="18"/>
  <c r="G188" i="1"/>
  <c r="G181" i="1"/>
  <c r="G183" i="1" s="1"/>
  <c r="G203" i="1" s="1"/>
  <c r="K183" i="1"/>
  <c r="K203" i="1" s="1"/>
  <c r="K130" i="1"/>
  <c r="K150" i="1" s="1"/>
  <c r="K102" i="14"/>
  <c r="G130" i="1"/>
  <c r="G150" i="1" s="1"/>
  <c r="H232" i="1"/>
  <c r="I223" i="1"/>
  <c r="I225" i="1" s="1"/>
  <c r="H225" i="1"/>
  <c r="G147" i="1"/>
  <c r="I97" i="14" l="1"/>
  <c r="I212" i="1"/>
  <c r="I213" i="1" s="1"/>
  <c r="W28" i="20"/>
  <c r="W22" i="20"/>
  <c r="G19" i="7"/>
  <c r="I11" i="7"/>
  <c r="D12" i="7"/>
  <c r="I12" i="7" s="1"/>
  <c r="I226" i="1"/>
  <c r="D146" i="1" s="1"/>
  <c r="F19" i="7"/>
  <c r="G30" i="7" s="1"/>
  <c r="G31" i="7" s="1"/>
  <c r="I207" i="1"/>
  <c r="E52" i="18" s="1"/>
  <c r="L52" i="18" s="1"/>
  <c r="O52" i="18" s="1"/>
  <c r="L221" i="1"/>
  <c r="N221" i="1" s="1"/>
  <c r="L222" i="1"/>
  <c r="N222" i="1" s="1"/>
  <c r="O222" i="1" s="1"/>
  <c r="L223" i="1"/>
  <c r="N223" i="1" s="1"/>
  <c r="O223" i="1" s="1"/>
  <c r="G102" i="14"/>
  <c r="G89" i="14"/>
  <c r="I232" i="1"/>
  <c r="I234" i="1" s="1"/>
  <c r="H234" i="1"/>
  <c r="G200" i="1"/>
  <c r="L175" i="1" l="1"/>
  <c r="C175" i="1" s="1"/>
  <c r="H30" i="7"/>
  <c r="H31" i="7" s="1"/>
  <c r="N52" i="18"/>
  <c r="R52" i="18" s="1"/>
  <c r="F20" i="7"/>
  <c r="G299" i="1"/>
  <c r="G305" i="1" s="1"/>
  <c r="I208" i="1"/>
  <c r="I105" i="14" s="1"/>
  <c r="M84" i="20"/>
  <c r="H82" i="20"/>
  <c r="N224" i="1"/>
  <c r="O221" i="1"/>
  <c r="O224" i="1" s="1"/>
  <c r="D139" i="1"/>
  <c r="D147" i="1"/>
  <c r="I235" i="1"/>
  <c r="G191" i="1"/>
  <c r="G193" i="1" s="1"/>
  <c r="G140" i="1"/>
  <c r="E191" i="1"/>
  <c r="Q84" i="20" l="1"/>
  <c r="X84" i="20"/>
  <c r="L177" i="1"/>
  <c r="L180" i="1" s="1"/>
  <c r="L183" i="1" s="1"/>
  <c r="L203" i="1" s="1"/>
  <c r="H83" i="20"/>
  <c r="D199" i="1"/>
  <c r="D200" i="1" s="1"/>
  <c r="D192" i="1"/>
  <c r="E187" i="1"/>
  <c r="E21" i="1"/>
  <c r="K136" i="1"/>
  <c r="K143" i="1" s="1"/>
  <c r="K149" i="1" s="1"/>
  <c r="K152" i="1" s="1"/>
  <c r="K187" i="1"/>
  <c r="K21" i="1"/>
  <c r="G142" i="1"/>
  <c r="G21" i="1" s="1"/>
  <c r="Q46" i="18" s="1"/>
  <c r="G187" i="1"/>
  <c r="G136" i="1"/>
  <c r="G143" i="1" s="1"/>
  <c r="G149" i="1" s="1"/>
  <c r="G152" i="1" s="1"/>
  <c r="D29" i="41" l="1"/>
  <c r="D29" i="42"/>
  <c r="D21" i="41"/>
  <c r="D21" i="42"/>
  <c r="L21" i="42" s="1"/>
  <c r="H84" i="20"/>
  <c r="W84" i="20"/>
  <c r="D56" i="18"/>
  <c r="D48" i="18"/>
  <c r="G205" i="1"/>
  <c r="G211" i="1" s="1"/>
  <c r="D21" i="1"/>
  <c r="D136" i="1"/>
  <c r="D187" i="1"/>
  <c r="G44" i="1"/>
  <c r="G23" i="1"/>
  <c r="K195" i="1"/>
  <c r="K189" i="1"/>
  <c r="K196" i="1" s="1"/>
  <c r="K202" i="1" s="1"/>
  <c r="E44" i="1"/>
  <c r="E195" i="1"/>
  <c r="G189" i="1"/>
  <c r="G196" i="1" s="1"/>
  <c r="G202" i="1" s="1"/>
  <c r="G195" i="1"/>
  <c r="K23" i="1"/>
  <c r="K44" i="1"/>
  <c r="K205" i="1"/>
  <c r="K211" i="1" s="1"/>
  <c r="D191" i="1"/>
  <c r="D140" i="1"/>
  <c r="C138" i="1"/>
  <c r="L204" i="1"/>
  <c r="Q56" i="18" l="1"/>
  <c r="H300" i="1"/>
  <c r="H301" i="1" s="1"/>
  <c r="Q48" i="18"/>
  <c r="F300" i="1"/>
  <c r="K46" i="1"/>
  <c r="K54" i="14"/>
  <c r="K55" i="14" s="1"/>
  <c r="K107" i="14" s="1"/>
  <c r="G46" i="1"/>
  <c r="G54" i="14"/>
  <c r="G55" i="14" s="1"/>
  <c r="G107" i="14" s="1"/>
  <c r="D44" i="1"/>
  <c r="C21" i="1"/>
  <c r="D23" i="1"/>
  <c r="C142" i="1"/>
  <c r="C191" i="1"/>
  <c r="D193" i="1"/>
  <c r="G204" i="1"/>
  <c r="G212" i="1" s="1"/>
  <c r="G213" i="1" s="1"/>
  <c r="G103" i="14"/>
  <c r="G90" i="14"/>
  <c r="E54" i="14"/>
  <c r="K204" i="1"/>
  <c r="K212" i="1" s="1"/>
  <c r="K213" i="1" s="1"/>
  <c r="K90" i="14"/>
  <c r="K103" i="14"/>
  <c r="D195" i="1"/>
  <c r="C187" i="1"/>
  <c r="D143" i="1"/>
  <c r="D149" i="1" s="1"/>
  <c r="D152" i="1" s="1"/>
  <c r="D15" i="41" l="1"/>
  <c r="D15" i="42"/>
  <c r="F301" i="1"/>
  <c r="Q42" i="18"/>
  <c r="D300" i="1"/>
  <c r="D301" i="1" s="1"/>
  <c r="R111" i="18"/>
  <c r="O67" i="20"/>
  <c r="O112" i="20"/>
  <c r="D42" i="18"/>
  <c r="C195" i="1"/>
  <c r="K97" i="14"/>
  <c r="K207" i="1"/>
  <c r="E56" i="18" s="1"/>
  <c r="F56" i="18" s="1"/>
  <c r="G207" i="1"/>
  <c r="E48" i="18" s="1"/>
  <c r="G97" i="14"/>
  <c r="C44" i="1"/>
  <c r="D54" i="14"/>
  <c r="D55" i="14" s="1"/>
  <c r="D107" i="14" s="1"/>
  <c r="D46" i="1"/>
  <c r="D205" i="1"/>
  <c r="L56" i="18" l="1"/>
  <c r="O56" i="18" s="1"/>
  <c r="L48" i="18"/>
  <c r="O48" i="18" s="1"/>
  <c r="P48" i="18"/>
  <c r="P56" i="18"/>
  <c r="F299" i="1"/>
  <c r="F305" i="1" s="1"/>
  <c r="H299" i="1"/>
  <c r="H305" i="1" s="1"/>
  <c r="C54" i="14"/>
  <c r="G208" i="1"/>
  <c r="G105" i="14" s="1"/>
  <c r="K208" i="1"/>
  <c r="K105" i="14" s="1"/>
  <c r="N56" i="18" l="1"/>
  <c r="R56" i="18" s="1"/>
  <c r="N48" i="18"/>
  <c r="R48" i="18" s="1"/>
  <c r="O17" i="20" l="1"/>
  <c r="O16" i="20"/>
  <c r="D181" i="1"/>
  <c r="D89" i="14" s="1"/>
  <c r="D188" i="1"/>
  <c r="D189" i="1" s="1"/>
  <c r="D102" i="14" l="1"/>
  <c r="D196" i="1"/>
  <c r="D202" i="1" s="1"/>
  <c r="D180" i="1"/>
  <c r="D103" i="14" l="1"/>
  <c r="D90" i="14"/>
  <c r="D183" i="1"/>
  <c r="D203" i="1" l="1"/>
  <c r="D204" i="1" s="1"/>
  <c r="D207" i="1" l="1"/>
  <c r="E42" i="18" s="1"/>
  <c r="G42" i="18" s="1"/>
  <c r="D97" i="14"/>
  <c r="D299" i="1" l="1"/>
  <c r="D305" i="1" s="1"/>
  <c r="D208" i="1"/>
  <c r="D105" i="14" s="1"/>
  <c r="L42" i="18" l="1"/>
  <c r="O42" i="18" s="1"/>
  <c r="G56" i="18"/>
  <c r="F52" i="18"/>
  <c r="G52" i="18"/>
  <c r="F42" i="18"/>
  <c r="G48" i="18"/>
  <c r="F48" i="18"/>
  <c r="N42" i="18" l="1"/>
  <c r="R42" i="18" s="1"/>
  <c r="BO137" i="9"/>
  <c r="BU137" i="9" s="1"/>
  <c r="BT28" i="9" l="1"/>
  <c r="BU27" i="9"/>
  <c r="BP131" i="9"/>
  <c r="BV131" i="9" s="1"/>
  <c r="BV28" i="9"/>
  <c r="BU57" i="9"/>
  <c r="BT57" i="9"/>
  <c r="BS57" i="9"/>
  <c r="BV57" i="9"/>
  <c r="BW57" i="9"/>
  <c r="BQ133" i="9"/>
  <c r="BW133" i="9" s="1"/>
  <c r="BM138" i="9"/>
  <c r="BS138" i="9" s="1"/>
  <c r="BN109" i="9"/>
  <c r="BV86" i="9"/>
  <c r="BP106" i="9"/>
  <c r="BQ139" i="9"/>
  <c r="BW139" i="9" s="1"/>
  <c r="BQ116" i="9"/>
  <c r="BW116" i="9" s="1"/>
  <c r="BN141" i="9"/>
  <c r="BT141" i="9" s="1"/>
  <c r="BQ134" i="9"/>
  <c r="BW134" i="9" s="1"/>
  <c r="BO112" i="9"/>
  <c r="BU112" i="9" s="1"/>
  <c r="BM106" i="9"/>
  <c r="BW26" i="9"/>
  <c r="BM131" i="9"/>
  <c r="BS131" i="9" s="1"/>
  <c r="BW84" i="9"/>
  <c r="BT38" i="9"/>
  <c r="BO119" i="9"/>
  <c r="BU119" i="9" s="1"/>
  <c r="BV52" i="9"/>
  <c r="BM153" i="9"/>
  <c r="BS153" i="9" s="1"/>
  <c r="BU26" i="9"/>
  <c r="BM137" i="9"/>
  <c r="BS137" i="9" s="1"/>
  <c r="BW31" i="9"/>
  <c r="BP139" i="9"/>
  <c r="BV139" i="9" s="1"/>
  <c r="BO136" i="9"/>
  <c r="BU136" i="9" s="1"/>
  <c r="BN133" i="9"/>
  <c r="BT133" i="9" s="1"/>
  <c r="BQ110" i="9"/>
  <c r="BW110" i="9" s="1"/>
  <c r="BP107" i="9"/>
  <c r="BQ120" i="9"/>
  <c r="BW120" i="9" s="1"/>
  <c r="BU83" i="9"/>
  <c r="BM141" i="9"/>
  <c r="BS141" i="9" s="1"/>
  <c r="BN134" i="9"/>
  <c r="BT134" i="9" s="1"/>
  <c r="BN110" i="9"/>
  <c r="BT110" i="9" s="1"/>
  <c r="BW87" i="9"/>
  <c r="BV82" i="9"/>
  <c r="BT71" i="9"/>
  <c r="BQ114" i="9"/>
  <c r="BW114" i="9" s="1"/>
  <c r="BU46" i="9"/>
  <c r="BS30" i="9"/>
  <c r="BV62" i="9"/>
  <c r="BN130" i="9"/>
  <c r="BT130" i="9" s="1"/>
  <c r="BV27" i="9"/>
  <c r="BO141" i="9"/>
  <c r="BU141" i="9" s="1"/>
  <c r="BP138" i="9"/>
  <c r="BV138" i="9" s="1"/>
  <c r="BO135" i="9"/>
  <c r="BU135" i="9" s="1"/>
  <c r="BN132" i="9"/>
  <c r="BT132" i="9" s="1"/>
  <c r="BM113" i="9"/>
  <c r="BS113" i="9" s="1"/>
  <c r="BQ109" i="9"/>
  <c r="BN152" i="9"/>
  <c r="BT152" i="9" s="1"/>
  <c r="BV26" i="9"/>
  <c r="BS31" i="9"/>
  <c r="BO140" i="9"/>
  <c r="BU140" i="9" s="1"/>
  <c r="BQ138" i="9"/>
  <c r="BW138" i="9" s="1"/>
  <c r="BN137" i="9"/>
  <c r="BT137" i="9" s="1"/>
  <c r="BP135" i="9"/>
  <c r="BV135" i="9" s="1"/>
  <c r="BM134" i="9"/>
  <c r="BS134" i="9" s="1"/>
  <c r="BO132" i="9"/>
  <c r="BU132" i="9" s="1"/>
  <c r="BN113" i="9"/>
  <c r="BT113" i="9" s="1"/>
  <c r="BP116" i="9"/>
  <c r="BV116" i="9" s="1"/>
  <c r="BM110" i="9"/>
  <c r="BS110" i="9" s="1"/>
  <c r="BO108" i="9"/>
  <c r="BQ106" i="9"/>
  <c r="BN105" i="9"/>
  <c r="BT88" i="9"/>
  <c r="BQ152" i="9"/>
  <c r="BW152" i="9" s="1"/>
  <c r="BV31" i="9"/>
  <c r="BM139" i="9"/>
  <c r="BS139" i="9" s="1"/>
  <c r="BQ135" i="9"/>
  <c r="BW135" i="9" s="1"/>
  <c r="BP132" i="9"/>
  <c r="BV132" i="9" s="1"/>
  <c r="BO113" i="9"/>
  <c r="BU113" i="9" s="1"/>
  <c r="BN108" i="9"/>
  <c r="BM105" i="9"/>
  <c r="BV84" i="9"/>
  <c r="BP120" i="9"/>
  <c r="BV120" i="9" s="1"/>
  <c r="BU86" i="9"/>
  <c r="BT83" i="9"/>
  <c r="BQ118" i="9"/>
  <c r="BW118" i="9" s="1"/>
  <c r="BV65" i="9"/>
  <c r="BO117" i="9"/>
  <c r="BU117" i="9" s="1"/>
  <c r="BT54" i="9"/>
  <c r="BM115" i="9"/>
  <c r="BS115" i="9" s="1"/>
  <c r="BW41" i="9"/>
  <c r="BV32" i="9"/>
  <c r="BW71" i="9"/>
  <c r="BU58" i="9"/>
  <c r="BS49" i="9"/>
  <c r="BW38" i="9"/>
  <c r="BO116" i="9"/>
  <c r="BU116" i="9" s="1"/>
  <c r="BM109" i="9"/>
  <c r="BO107" i="9"/>
  <c r="BQ105" i="9"/>
  <c r="BO120" i="9"/>
  <c r="BU120" i="9" s="1"/>
  <c r="BT86" i="9"/>
  <c r="BO126" i="9"/>
  <c r="BU126" i="9" s="1"/>
  <c r="BW88" i="9"/>
  <c r="BT87" i="9"/>
  <c r="BV85" i="9"/>
  <c r="BW80" i="9"/>
  <c r="BN153" i="9"/>
  <c r="BT153" i="9" s="1"/>
  <c r="BV74" i="9"/>
  <c r="BM118" i="9"/>
  <c r="BS118" i="9" s="1"/>
  <c r="BU68" i="9"/>
  <c r="BW62" i="9"/>
  <c r="BT59" i="9"/>
  <c r="BV58" i="9"/>
  <c r="BS114" i="9"/>
  <c r="BO130" i="9"/>
  <c r="BU130" i="9" s="1"/>
  <c r="BQ115" i="9"/>
  <c r="BW115" i="9" s="1"/>
  <c r="BT49" i="9"/>
  <c r="BV43" i="9"/>
  <c r="BS41" i="9"/>
  <c r="BU35" i="9"/>
  <c r="BW30" i="9"/>
  <c r="BU28" i="9"/>
  <c r="BV80" i="9"/>
  <c r="BU74" i="9"/>
  <c r="BT68" i="9"/>
  <c r="BS59" i="9"/>
  <c r="BW54" i="9"/>
  <c r="BP115" i="9"/>
  <c r="BV115" i="9" s="1"/>
  <c r="BU43" i="9"/>
  <c r="BT35" i="9"/>
  <c r="BV30" i="9"/>
  <c r="BT29" i="9"/>
  <c r="BU82" i="9"/>
  <c r="BQ153" i="9"/>
  <c r="BW153" i="9" s="1"/>
  <c r="BN119" i="9"/>
  <c r="BT119" i="9" s="1"/>
  <c r="BP118" i="9"/>
  <c r="BV118" i="9" s="1"/>
  <c r="BU65" i="9"/>
  <c r="BW59" i="9"/>
  <c r="BN117" i="9"/>
  <c r="BT117" i="9" s="1"/>
  <c r="BP114" i="9"/>
  <c r="BV114" i="9" s="1"/>
  <c r="BS54" i="9"/>
  <c r="BU52" i="9"/>
  <c r="BW49" i="9"/>
  <c r="BT46" i="9"/>
  <c r="BV41" i="9"/>
  <c r="BS38" i="9"/>
  <c r="BU32" i="9"/>
  <c r="BW29" i="9"/>
  <c r="BS29" i="9"/>
  <c r="BO152" i="9"/>
  <c r="BU152" i="9" s="1"/>
  <c r="BT27" i="9"/>
  <c r="BT31" i="9"/>
  <c r="BP140" i="9"/>
  <c r="BV140" i="9" s="1"/>
  <c r="BO139" i="9"/>
  <c r="BU139" i="9" s="1"/>
  <c r="BQ137" i="9"/>
  <c r="BW137" i="9" s="1"/>
  <c r="BN136" i="9"/>
  <c r="BT136" i="9" s="1"/>
  <c r="BP134" i="9"/>
  <c r="BV134" i="9" s="1"/>
  <c r="BM133" i="9"/>
  <c r="BS133" i="9" s="1"/>
  <c r="BO131" i="9"/>
  <c r="BU131" i="9" s="1"/>
  <c r="BQ113" i="9"/>
  <c r="BW113" i="9" s="1"/>
  <c r="BN112" i="9"/>
  <c r="BT112" i="9" s="1"/>
  <c r="BM116" i="9"/>
  <c r="BS116" i="9" s="1"/>
  <c r="BP152" i="9"/>
  <c r="BV152" i="9" s="1"/>
  <c r="BW27" i="9"/>
  <c r="BS27" i="9"/>
  <c r="BT26" i="9"/>
  <c r="BU31" i="9"/>
  <c r="BP141" i="9"/>
  <c r="BV141" i="9" s="1"/>
  <c r="BQ140" i="9"/>
  <c r="BW140" i="9" s="1"/>
  <c r="BM140" i="9"/>
  <c r="BS140" i="9" s="1"/>
  <c r="BN139" i="9"/>
  <c r="BT139" i="9" s="1"/>
  <c r="BO138" i="9"/>
  <c r="BU138" i="9" s="1"/>
  <c r="BP137" i="9"/>
  <c r="BV137" i="9" s="1"/>
  <c r="BQ136" i="9"/>
  <c r="BW136" i="9" s="1"/>
  <c r="BM136" i="9"/>
  <c r="BS136" i="9" s="1"/>
  <c r="BN135" i="9"/>
  <c r="BT135" i="9" s="1"/>
  <c r="BO134" i="9"/>
  <c r="BU134" i="9" s="1"/>
  <c r="BP133" i="9"/>
  <c r="BV133" i="9" s="1"/>
  <c r="BQ132" i="9"/>
  <c r="BW132" i="9" s="1"/>
  <c r="BM132" i="9"/>
  <c r="BS132" i="9" s="1"/>
  <c r="BN131" i="9"/>
  <c r="BT131" i="9" s="1"/>
  <c r="BP113" i="9"/>
  <c r="BV113" i="9" s="1"/>
  <c r="BQ112" i="9"/>
  <c r="BW112" i="9" s="1"/>
  <c r="BM112" i="9"/>
  <c r="BS112" i="9" s="1"/>
  <c r="BN116" i="9"/>
  <c r="BT116" i="9" s="1"/>
  <c r="BO110" i="9"/>
  <c r="BU110" i="9" s="1"/>
  <c r="BP109" i="9"/>
  <c r="BQ108" i="9"/>
  <c r="BM108" i="9"/>
  <c r="BN107" i="9"/>
  <c r="BO106" i="9"/>
  <c r="BP105" i="9"/>
  <c r="BP126" i="9"/>
  <c r="BV126" i="9" s="1"/>
  <c r="BM120" i="9"/>
  <c r="BS120" i="9" s="1"/>
  <c r="BU87" i="9"/>
  <c r="BW85" i="9"/>
  <c r="BT84" i="9"/>
  <c r="BM152" i="9"/>
  <c r="BS152" i="9" s="1"/>
  <c r="BS26" i="9"/>
  <c r="BQ141" i="9"/>
  <c r="BW141" i="9" s="1"/>
  <c r="BN140" i="9"/>
  <c r="BT140" i="9" s="1"/>
  <c r="BN138" i="9"/>
  <c r="BT138" i="9" s="1"/>
  <c r="BP136" i="9"/>
  <c r="BV136" i="9" s="1"/>
  <c r="BM135" i="9"/>
  <c r="BS135" i="9" s="1"/>
  <c r="BO133" i="9"/>
  <c r="BU133" i="9" s="1"/>
  <c r="BQ131" i="9"/>
  <c r="BW131" i="9" s="1"/>
  <c r="BP112" i="9"/>
  <c r="BV112" i="9" s="1"/>
  <c r="BP110" i="9"/>
  <c r="BV110" i="9" s="1"/>
  <c r="BO109" i="9"/>
  <c r="BP108" i="9"/>
  <c r="BQ107" i="9"/>
  <c r="BM107" i="9"/>
  <c r="BN106" i="9"/>
  <c r="BO105" i="9"/>
  <c r="BN126" i="9"/>
  <c r="BT126" i="9" s="1"/>
  <c r="BV88" i="9"/>
  <c r="BU85" i="9"/>
  <c r="BW83" i="9"/>
  <c r="BQ126" i="9"/>
  <c r="BW126" i="9" s="1"/>
  <c r="BM126" i="9"/>
  <c r="BS126" i="9" s="1"/>
  <c r="BN120" i="9"/>
  <c r="BT120" i="9" s="1"/>
  <c r="BU88" i="9"/>
  <c r="BV87" i="9"/>
  <c r="BW86" i="9"/>
  <c r="BT85" i="9"/>
  <c r="BU84" i="9"/>
  <c r="BV83" i="9"/>
  <c r="BT82" i="9"/>
  <c r="BU80" i="9"/>
  <c r="BP153" i="9"/>
  <c r="BV153" i="9" s="1"/>
  <c r="BQ119" i="9"/>
  <c r="BW119" i="9" s="1"/>
  <c r="BM119" i="9"/>
  <c r="BS119" i="9" s="1"/>
  <c r="BT74" i="9"/>
  <c r="BO118" i="9"/>
  <c r="BU118" i="9" s="1"/>
  <c r="BV71" i="9"/>
  <c r="BW68" i="9"/>
  <c r="BT65" i="9"/>
  <c r="BU62" i="9"/>
  <c r="BV59" i="9"/>
  <c r="BQ117" i="9"/>
  <c r="BW117" i="9" s="1"/>
  <c r="BM117" i="9"/>
  <c r="BS117" i="9" s="1"/>
  <c r="BT58" i="9"/>
  <c r="BO114" i="9"/>
  <c r="BU114" i="9" s="1"/>
  <c r="BV54" i="9"/>
  <c r="BQ130" i="9"/>
  <c r="BW130" i="9" s="1"/>
  <c r="BM130" i="9"/>
  <c r="BS130" i="9" s="1"/>
  <c r="BT52" i="9"/>
  <c r="BO115" i="9"/>
  <c r="BU115" i="9" s="1"/>
  <c r="BV49" i="9"/>
  <c r="BW46" i="9"/>
  <c r="BS46" i="9"/>
  <c r="BT43" i="9"/>
  <c r="BU41" i="9"/>
  <c r="BV38" i="9"/>
  <c r="BW35" i="9"/>
  <c r="BS35" i="9"/>
  <c r="BT32" i="9"/>
  <c r="BU30" i="9"/>
  <c r="BV29" i="9"/>
  <c r="BW28" i="9"/>
  <c r="BS28" i="9"/>
  <c r="BW82" i="9"/>
  <c r="BT80" i="9"/>
  <c r="BO153" i="9"/>
  <c r="BU153" i="9" s="1"/>
  <c r="BP119" i="9"/>
  <c r="BV119" i="9" s="1"/>
  <c r="BW74" i="9"/>
  <c r="BN118" i="9"/>
  <c r="BT118" i="9" s="1"/>
  <c r="BU71" i="9"/>
  <c r="BV68" i="9"/>
  <c r="BW65" i="9"/>
  <c r="BT62" i="9"/>
  <c r="BU59" i="9"/>
  <c r="BP117" i="9"/>
  <c r="BV117" i="9" s="1"/>
  <c r="BW58" i="9"/>
  <c r="BS58" i="9"/>
  <c r="BN114" i="9"/>
  <c r="BT114" i="9" s="1"/>
  <c r="BU54" i="9"/>
  <c r="BP130" i="9"/>
  <c r="BV130" i="9" s="1"/>
  <c r="BW52" i="9"/>
  <c r="BS52" i="9"/>
  <c r="BN115" i="9"/>
  <c r="BT115" i="9" s="1"/>
  <c r="BU49" i="9"/>
  <c r="BV46" i="9"/>
  <c r="BW43" i="9"/>
  <c r="BS43" i="9"/>
  <c r="BT41" i="9"/>
  <c r="BU38" i="9"/>
  <c r="BV35" i="9"/>
  <c r="BW32" i="9"/>
  <c r="BS32" i="9"/>
  <c r="BT30" i="9"/>
  <c r="BU29" i="9"/>
  <c r="R82" i="20"/>
  <c r="R110" i="20"/>
  <c r="R36" i="20"/>
  <c r="N55" i="20" s="1"/>
  <c r="J55" i="20" s="1"/>
  <c r="R66" i="20"/>
  <c r="R112" i="20"/>
  <c r="R67" i="20"/>
  <c r="R55" i="20" l="1"/>
  <c r="S55" i="20"/>
  <c r="V55" i="20"/>
  <c r="M55" i="20"/>
  <c r="Q55" i="20" s="1"/>
  <c r="R84" i="20"/>
  <c r="R83" i="20"/>
  <c r="W55" i="20" l="1"/>
  <c r="R17" i="20"/>
  <c r="N30" i="20" s="1"/>
  <c r="J30" i="20" s="1"/>
  <c r="R16" i="20"/>
  <c r="N29" i="20" l="1"/>
  <c r="J29" i="20" s="1"/>
  <c r="N23" i="20"/>
  <c r="J23" i="20" s="1"/>
  <c r="S30" i="20"/>
  <c r="V30" i="20"/>
  <c r="R30" i="20"/>
  <c r="M30" i="20"/>
  <c r="W30" i="20" s="1"/>
  <c r="O29" i="27"/>
  <c r="M30" i="27"/>
  <c r="V23" i="20" l="1"/>
  <c r="S23" i="20"/>
  <c r="R23" i="20"/>
  <c r="M23" i="20"/>
  <c r="Q23" i="20" s="1"/>
  <c r="R29" i="20"/>
  <c r="V29" i="20"/>
  <c r="S29" i="20"/>
  <c r="M29" i="20"/>
  <c r="Q29" i="20" s="1"/>
  <c r="M32" i="27"/>
  <c r="O32" i="27" s="1"/>
  <c r="P32" i="27" s="1"/>
  <c r="O30" i="27"/>
  <c r="W23" i="20" l="1"/>
  <c r="W29" i="20"/>
  <c r="M66" i="27"/>
  <c r="O66" i="27" s="1"/>
  <c r="C27" i="5" s="1"/>
  <c r="F9" i="1" s="1"/>
  <c r="O62" i="27"/>
  <c r="M34" i="27"/>
  <c r="M35" i="27"/>
  <c r="M65" i="27" l="1"/>
  <c r="M63" i="27"/>
  <c r="O61" i="27"/>
  <c r="O63" i="27" s="1"/>
  <c r="M36" i="27"/>
  <c r="M38" i="27"/>
  <c r="O34" i="27"/>
  <c r="M39" i="27"/>
  <c r="O39" i="27" s="1"/>
  <c r="C15" i="5" s="1"/>
  <c r="C17" i="5" s="1"/>
  <c r="O35" i="27"/>
  <c r="M67" i="27" l="1"/>
  <c r="M68" i="27" s="1"/>
  <c r="O65" i="27"/>
  <c r="E9" i="1"/>
  <c r="D242" i="1" s="1"/>
  <c r="E242" i="1" s="1"/>
  <c r="O36" i="27"/>
  <c r="M40" i="27"/>
  <c r="M41" i="27" s="1"/>
  <c r="O38" i="27"/>
  <c r="O67" i="27" l="1"/>
  <c r="O68" i="27" s="1"/>
  <c r="E114" i="1"/>
  <c r="E32" i="1"/>
  <c r="D250" i="1" s="1"/>
  <c r="F32" i="1"/>
  <c r="F114" i="1"/>
  <c r="O40" i="27"/>
  <c r="O41" i="27" s="1"/>
  <c r="B15" i="5"/>
  <c r="E51" i="14" l="1"/>
  <c r="E167" i="1"/>
  <c r="B27" i="5"/>
  <c r="F8" i="1" s="1"/>
  <c r="D27" i="5"/>
  <c r="D31" i="5" s="1"/>
  <c r="C114" i="1"/>
  <c r="F51" i="14"/>
  <c r="C51" i="14" s="1"/>
  <c r="F167" i="1"/>
  <c r="E250" i="1"/>
  <c r="B17" i="5"/>
  <c r="D15" i="5"/>
  <c r="D17" i="5" s="1"/>
  <c r="D21" i="5" s="1"/>
  <c r="C167" i="1" l="1"/>
  <c r="D48" i="5"/>
  <c r="D52" i="5" s="1"/>
  <c r="D53" i="5" s="1"/>
  <c r="B49" i="5"/>
  <c r="E8" i="1"/>
  <c r="E14" i="1" s="1"/>
  <c r="E18" i="1"/>
  <c r="F18" i="1"/>
  <c r="E31" i="1"/>
  <c r="E113" i="1"/>
  <c r="D49" i="5" l="1"/>
  <c r="D54" i="5" s="1"/>
  <c r="H8" i="1"/>
  <c r="D241" i="1"/>
  <c r="D244" i="1" s="1"/>
  <c r="C18" i="1"/>
  <c r="F31" i="1"/>
  <c r="F14" i="1"/>
  <c r="F17" i="1" s="1"/>
  <c r="F20" i="1" s="1"/>
  <c r="F23" i="1" s="1"/>
  <c r="F113" i="1"/>
  <c r="F124" i="1" s="1"/>
  <c r="F41" i="1"/>
  <c r="E41" i="1"/>
  <c r="E50" i="14"/>
  <c r="D249" i="1"/>
  <c r="E166" i="1"/>
  <c r="E37" i="1"/>
  <c r="E124" i="1"/>
  <c r="E17" i="1"/>
  <c r="H31" i="1" l="1"/>
  <c r="H14" i="1"/>
  <c r="H17" i="1" s="1"/>
  <c r="H20" i="1" s="1"/>
  <c r="H23" i="1" s="1"/>
  <c r="H113" i="1"/>
  <c r="H124" i="1" s="1"/>
  <c r="H127" i="1" s="1"/>
  <c r="H130" i="1" s="1"/>
  <c r="H150" i="1" s="1"/>
  <c r="H152" i="1" s="1"/>
  <c r="D50" i="18" s="1"/>
  <c r="F128" i="1"/>
  <c r="E241" i="1"/>
  <c r="E244" i="1" s="1"/>
  <c r="E245" i="1" s="1"/>
  <c r="F241" i="1"/>
  <c r="H241" i="1" s="1"/>
  <c r="I241" i="1" s="1"/>
  <c r="C14" i="1"/>
  <c r="C41" i="1"/>
  <c r="F53" i="14"/>
  <c r="E53" i="14"/>
  <c r="E55" i="14" s="1"/>
  <c r="F37" i="1"/>
  <c r="F40" i="1" s="1"/>
  <c r="F43" i="1" s="1"/>
  <c r="F46" i="1" s="1"/>
  <c r="F50" i="14"/>
  <c r="F166" i="1"/>
  <c r="E67" i="1"/>
  <c r="E88" i="14"/>
  <c r="E20" i="1"/>
  <c r="E249" i="1"/>
  <c r="F249" i="1"/>
  <c r="H249" i="1" s="1"/>
  <c r="D252" i="1"/>
  <c r="E177" i="1"/>
  <c r="E104" i="14"/>
  <c r="E40" i="1"/>
  <c r="D23" i="41" l="1"/>
  <c r="D23" i="42"/>
  <c r="L23" i="42" s="1"/>
  <c r="G241" i="1"/>
  <c r="F242" i="1"/>
  <c r="G242" i="1" s="1"/>
  <c r="H205" i="1"/>
  <c r="H211" i="1" s="1"/>
  <c r="C17" i="1"/>
  <c r="C113" i="1"/>
  <c r="H37" i="1"/>
  <c r="H40" i="1" s="1"/>
  <c r="H43" i="1" s="1"/>
  <c r="H46" i="1" s="1"/>
  <c r="H50" i="14"/>
  <c r="H166" i="1"/>
  <c r="F125" i="1"/>
  <c r="F127" i="1" s="1"/>
  <c r="F130" i="1" s="1"/>
  <c r="F150" i="1" s="1"/>
  <c r="F135" i="1"/>
  <c r="F136" i="1" s="1"/>
  <c r="F143" i="1" s="1"/>
  <c r="F149" i="1" s="1"/>
  <c r="C53" i="14"/>
  <c r="F88" i="14"/>
  <c r="F55" i="14"/>
  <c r="F107" i="14" s="1"/>
  <c r="F177" i="1"/>
  <c r="F104" i="14"/>
  <c r="E252" i="1"/>
  <c r="E253" i="1" s="1"/>
  <c r="I249" i="1"/>
  <c r="E107" i="14"/>
  <c r="E135" i="1"/>
  <c r="E136" i="1" s="1"/>
  <c r="E125" i="1"/>
  <c r="E128" i="1"/>
  <c r="C128" i="1" s="1"/>
  <c r="E43" i="1"/>
  <c r="G249" i="1"/>
  <c r="F250" i="1"/>
  <c r="E84" i="1"/>
  <c r="E23" i="1"/>
  <c r="C20" i="1"/>
  <c r="B99" i="5" s="1"/>
  <c r="B101" i="5" s="1"/>
  <c r="H242" i="1" l="1"/>
  <c r="C40" i="1"/>
  <c r="C37" i="1"/>
  <c r="G244" i="1"/>
  <c r="G245" i="1" s="1"/>
  <c r="H88" i="14"/>
  <c r="C88" i="14" s="1"/>
  <c r="H55" i="14"/>
  <c r="H107" i="14" s="1"/>
  <c r="H104" i="14"/>
  <c r="H177" i="1"/>
  <c r="H180" i="1" s="1"/>
  <c r="H183" i="1" s="1"/>
  <c r="H203" i="1" s="1"/>
  <c r="H204" i="1" s="1"/>
  <c r="C50" i="14"/>
  <c r="C166" i="1"/>
  <c r="C104" i="14" s="1"/>
  <c r="F152" i="1"/>
  <c r="D46" i="18" s="1"/>
  <c r="F188" i="1"/>
  <c r="F189" i="1" s="1"/>
  <c r="F196" i="1" s="1"/>
  <c r="F202" i="1" s="1"/>
  <c r="F178" i="1"/>
  <c r="F180" i="1" s="1"/>
  <c r="F181" i="1"/>
  <c r="Q44" i="18"/>
  <c r="E300" i="1"/>
  <c r="C43" i="1"/>
  <c r="E46" i="1"/>
  <c r="C23" i="1"/>
  <c r="G250" i="1"/>
  <c r="G252" i="1" s="1"/>
  <c r="G253" i="1" s="1"/>
  <c r="H250" i="1"/>
  <c r="C136" i="1"/>
  <c r="E178" i="1"/>
  <c r="E188" i="1"/>
  <c r="E189" i="1" s="1"/>
  <c r="E181" i="1"/>
  <c r="C125" i="1"/>
  <c r="E127" i="1"/>
  <c r="H244" i="1"/>
  <c r="I242" i="1"/>
  <c r="I244" i="1" s="1"/>
  <c r="H97" i="14" l="1"/>
  <c r="H212" i="1"/>
  <c r="H213" i="1" s="1"/>
  <c r="D19" i="41"/>
  <c r="D19" i="42"/>
  <c r="L19" i="42" s="1"/>
  <c r="C55" i="14"/>
  <c r="C177" i="1"/>
  <c r="H207" i="1"/>
  <c r="E50" i="18" s="1"/>
  <c r="F205" i="1"/>
  <c r="F211" i="1" s="1"/>
  <c r="F102" i="14"/>
  <c r="F89" i="14"/>
  <c r="F183" i="1"/>
  <c r="F203" i="1" s="1"/>
  <c r="F204" i="1" s="1"/>
  <c r="F212" i="1" s="1"/>
  <c r="F90" i="14"/>
  <c r="F103" i="14"/>
  <c r="E301" i="1"/>
  <c r="C46" i="1"/>
  <c r="I245" i="1"/>
  <c r="E139" i="1" s="1"/>
  <c r="E140" i="1" s="1"/>
  <c r="E143" i="1" s="1"/>
  <c r="C189" i="1"/>
  <c r="I250" i="1"/>
  <c r="I252" i="1" s="1"/>
  <c r="H252" i="1"/>
  <c r="E89" i="14"/>
  <c r="C181" i="1"/>
  <c r="C102" i="14" s="1"/>
  <c r="E102" i="14"/>
  <c r="E130" i="1"/>
  <c r="C178" i="1"/>
  <c r="E180" i="1"/>
  <c r="F213" i="1" l="1"/>
  <c r="F50" i="18"/>
  <c r="H208" i="1"/>
  <c r="H105" i="14" s="1"/>
  <c r="C89" i="14"/>
  <c r="F207" i="1"/>
  <c r="E46" i="18" s="1"/>
  <c r="F46" i="18" s="1"/>
  <c r="F97" i="14"/>
  <c r="P44" i="18"/>
  <c r="I253" i="1"/>
  <c r="E200" i="1" s="1"/>
  <c r="C200" i="1" s="1"/>
  <c r="E147" i="1"/>
  <c r="C147" i="1" s="1"/>
  <c r="E150" i="1"/>
  <c r="C140" i="1"/>
  <c r="C180" i="1"/>
  <c r="E183" i="1"/>
  <c r="L50" i="18" l="1"/>
  <c r="O50" i="18" s="1"/>
  <c r="G50" i="18"/>
  <c r="F208" i="1"/>
  <c r="F105" i="14" s="1"/>
  <c r="J60" i="18"/>
  <c r="K60" i="18" s="1"/>
  <c r="E192" i="1"/>
  <c r="E193" i="1" s="1"/>
  <c r="E196" i="1" s="1"/>
  <c r="E202" i="1" s="1"/>
  <c r="E149" i="1"/>
  <c r="E152" i="1" s="1"/>
  <c r="C143" i="1"/>
  <c r="E203" i="1"/>
  <c r="C203" i="1" s="1"/>
  <c r="C183" i="1"/>
  <c r="O36" i="20"/>
  <c r="D44" i="18" l="1"/>
  <c r="N50" i="18"/>
  <c r="R50" i="18" s="1"/>
  <c r="L46" i="18"/>
  <c r="O46" i="18" s="1"/>
  <c r="G46" i="18"/>
  <c r="D17" i="41"/>
  <c r="D17" i="42"/>
  <c r="L17" i="42" s="1"/>
  <c r="C193" i="1"/>
  <c r="C196" i="1" s="1"/>
  <c r="C202" i="1" s="1"/>
  <c r="E205" i="1"/>
  <c r="E211" i="1" s="1"/>
  <c r="C149" i="1"/>
  <c r="E204" i="1"/>
  <c r="E212" i="1" s="1"/>
  <c r="E90" i="14"/>
  <c r="E103" i="14"/>
  <c r="E213" i="1" l="1"/>
  <c r="N46" i="18"/>
  <c r="R46" i="18" s="1"/>
  <c r="C103" i="14"/>
  <c r="E207" i="1"/>
  <c r="E44" i="18" s="1"/>
  <c r="E97" i="14"/>
  <c r="C204" i="1"/>
  <c r="C90" i="14"/>
  <c r="G44" i="18" l="1"/>
  <c r="L44" i="18"/>
  <c r="O44" i="18" s="1"/>
  <c r="F44" i="18"/>
  <c r="E299" i="1"/>
  <c r="E305" i="1" s="1"/>
  <c r="E208" i="1"/>
  <c r="E105" i="14" s="1"/>
  <c r="C97" i="14"/>
  <c r="N44" i="18" l="1"/>
  <c r="R44" i="18" s="1"/>
  <c r="Q60" i="18"/>
  <c r="P42" i="18" l="1"/>
  <c r="P60" i="18" l="1"/>
  <c r="AC105" i="9" l="1"/>
  <c r="AC107" i="9" s="1"/>
  <c r="AU107" i="9" l="1"/>
  <c r="AC109" i="9"/>
  <c r="C15" i="7"/>
  <c r="C19" i="7" s="1"/>
  <c r="C20" i="7" l="1"/>
  <c r="C30" i="7"/>
  <c r="C31" i="7" s="1"/>
  <c r="D15" i="7"/>
  <c r="D21" i="7" l="1"/>
  <c r="O15" i="7"/>
  <c r="I15" i="7"/>
  <c r="D19" i="7"/>
  <c r="I19" i="7" l="1"/>
  <c r="L20" i="7" s="1"/>
  <c r="D30" i="7"/>
  <c r="D31" i="7" s="1"/>
  <c r="L122" i="1"/>
  <c r="C122" i="1" s="1"/>
  <c r="E30" i="7"/>
  <c r="E31" i="7" s="1"/>
  <c r="L124" i="1" l="1"/>
  <c r="L127" i="1" s="1"/>
  <c r="L130" i="1" s="1"/>
  <c r="L150" i="1" s="1"/>
  <c r="L152" i="1" s="1"/>
  <c r="D58" i="18" l="1"/>
  <c r="D31" i="42"/>
  <c r="D31" i="41"/>
  <c r="L205" i="1"/>
  <c r="L207" i="1" l="1"/>
  <c r="E58" i="18" l="1"/>
  <c r="L58" i="18" s="1"/>
  <c r="L208" i="1"/>
  <c r="G58" i="18" l="1"/>
  <c r="O58" i="18"/>
  <c r="N58" i="18"/>
  <c r="R58" i="18" s="1"/>
  <c r="F58" i="18"/>
  <c r="M60" i="18"/>
  <c r="C120" i="1" l="1"/>
  <c r="J124" i="1"/>
  <c r="J127" i="1" s="1"/>
  <c r="J130" i="1" l="1"/>
  <c r="C127" i="1"/>
  <c r="C124" i="1"/>
  <c r="J150" i="1" l="1"/>
  <c r="J152" i="1" s="1"/>
  <c r="D54" i="18" s="1"/>
  <c r="C130" i="1"/>
  <c r="C150" i="1" s="1"/>
  <c r="C152" i="1" l="1"/>
  <c r="D27" i="41"/>
  <c r="D33" i="41" s="1"/>
  <c r="D27" i="42"/>
  <c r="L27" i="42" s="1"/>
  <c r="L33" i="42" s="1"/>
  <c r="J205" i="1"/>
  <c r="J207" i="1" l="1"/>
  <c r="E54" i="18" s="1"/>
  <c r="E60" i="18" s="1"/>
  <c r="J211" i="1"/>
  <c r="J213" i="1" s="1"/>
  <c r="D33" i="42"/>
  <c r="F33" i="41"/>
  <c r="C60" i="14" s="1"/>
  <c r="E36" i="41"/>
  <c r="F15" i="41" s="1"/>
  <c r="C205" i="1"/>
  <c r="D60" i="18"/>
  <c r="M71" i="18" s="1"/>
  <c r="G54" i="18" l="1"/>
  <c r="L54" i="18"/>
  <c r="O54" i="18" s="1"/>
  <c r="J208" i="1"/>
  <c r="J105" i="14" s="1"/>
  <c r="C207" i="1"/>
  <c r="C208" i="1" s="1"/>
  <c r="C105" i="14" s="1"/>
  <c r="F54" i="18"/>
  <c r="F60" i="18" s="1"/>
  <c r="G60" i="18"/>
  <c r="N112" i="18"/>
  <c r="P111" i="18" s="1"/>
  <c r="F33" i="42"/>
  <c r="F21" i="41"/>
  <c r="F29" i="41"/>
  <c r="G29" i="41" s="1"/>
  <c r="F31" i="41"/>
  <c r="I24" i="7" s="1"/>
  <c r="F19" i="41"/>
  <c r="F25" i="41"/>
  <c r="F17" i="41"/>
  <c r="F23" i="41"/>
  <c r="D61" i="18"/>
  <c r="N54" i="18" l="1"/>
  <c r="R54" i="18" s="1"/>
  <c r="G29" i="42"/>
  <c r="H29" i="42" s="1"/>
  <c r="N29" i="41"/>
  <c r="P115" i="18"/>
  <c r="P113" i="18"/>
  <c r="P112" i="18"/>
  <c r="P114" i="18"/>
  <c r="P116" i="18"/>
  <c r="G31" i="41"/>
  <c r="K60" i="14"/>
  <c r="G25" i="41"/>
  <c r="P25" i="41" s="1"/>
  <c r="I60" i="14"/>
  <c r="G23" i="41"/>
  <c r="H60" i="14"/>
  <c r="G21" i="41"/>
  <c r="P21" i="41" s="1"/>
  <c r="G60" i="14"/>
  <c r="G19" i="41"/>
  <c r="F60" i="14"/>
  <c r="G17" i="41"/>
  <c r="E60" i="14"/>
  <c r="G15" i="41"/>
  <c r="D60" i="14"/>
  <c r="M29" i="41"/>
  <c r="O29" i="41"/>
  <c r="H29" i="41"/>
  <c r="K59" i="14" s="1"/>
  <c r="P29" i="41"/>
  <c r="H54" i="18"/>
  <c r="H42" i="18"/>
  <c r="M31" i="41" l="1"/>
  <c r="N31" i="41"/>
  <c r="P117" i="18"/>
  <c r="S114" i="18" s="1"/>
  <c r="N23" i="41"/>
  <c r="M23" i="41"/>
  <c r="P19" i="41"/>
  <c r="M19" i="41"/>
  <c r="H19" i="41"/>
  <c r="F59" i="14" s="1"/>
  <c r="F96" i="14" s="1"/>
  <c r="F98" i="14" s="1"/>
  <c r="G19" i="42"/>
  <c r="H19" i="42" s="1"/>
  <c r="O23" i="41"/>
  <c r="G23" i="42"/>
  <c r="H23" i="42" s="1"/>
  <c r="M17" i="41"/>
  <c r="G17" i="42"/>
  <c r="H17" i="42" s="1"/>
  <c r="H21" i="41"/>
  <c r="G59" i="14" s="1"/>
  <c r="G21" i="42"/>
  <c r="H21" i="42" s="1"/>
  <c r="O25" i="41"/>
  <c r="G25" i="42"/>
  <c r="H25" i="42" s="1"/>
  <c r="P31" i="41"/>
  <c r="G31" i="42"/>
  <c r="H31" i="42" s="1"/>
  <c r="P15" i="41"/>
  <c r="G15" i="42"/>
  <c r="O19" i="41"/>
  <c r="N25" i="41"/>
  <c r="P17" i="41"/>
  <c r="N21" i="41"/>
  <c r="E46" i="41"/>
  <c r="O17" i="41"/>
  <c r="O21" i="41"/>
  <c r="M25" i="41"/>
  <c r="M21" i="41"/>
  <c r="H25" i="41"/>
  <c r="I59" i="14" s="1"/>
  <c r="H31" i="41"/>
  <c r="I23" i="7" s="1"/>
  <c r="N19" i="41"/>
  <c r="P23" i="41"/>
  <c r="O15" i="41"/>
  <c r="O44" i="41" s="1"/>
  <c r="O46" i="41" s="1"/>
  <c r="H15" i="41"/>
  <c r="D59" i="14" s="1"/>
  <c r="N15" i="41"/>
  <c r="M15" i="41"/>
  <c r="H23" i="41"/>
  <c r="H59" i="14" s="1"/>
  <c r="H92" i="14" s="1"/>
  <c r="H93" i="14" s="1"/>
  <c r="H17" i="41"/>
  <c r="E59" i="14" s="1"/>
  <c r="O31" i="41"/>
  <c r="N17" i="41"/>
  <c r="K92" i="14"/>
  <c r="K93" i="14" s="1"/>
  <c r="E49" i="41" l="1"/>
  <c r="E60" i="41" s="1"/>
  <c r="E66" i="41" s="1"/>
  <c r="S115" i="18"/>
  <c r="S111" i="18"/>
  <c r="S113" i="18"/>
  <c r="S112" i="18"/>
  <c r="S116" i="18"/>
  <c r="H15" i="42"/>
  <c r="F92" i="14"/>
  <c r="F93" i="14" s="1"/>
  <c r="K96" i="14"/>
  <c r="K98" i="14" s="1"/>
  <c r="D96" i="14"/>
  <c r="H96" i="14"/>
  <c r="H98" i="14" s="1"/>
  <c r="K94" i="14"/>
  <c r="G92" i="14"/>
  <c r="G93" i="14" s="1"/>
  <c r="G96" i="14"/>
  <c r="G98" i="14" s="1"/>
  <c r="H94" i="14"/>
  <c r="E92" i="14"/>
  <c r="E93" i="14" s="1"/>
  <c r="E96" i="14"/>
  <c r="E98" i="14" s="1"/>
  <c r="I92" i="14"/>
  <c r="I93" i="14" s="1"/>
  <c r="I96" i="14"/>
  <c r="I98" i="14" s="1"/>
  <c r="E50" i="41" l="1"/>
  <c r="G27" i="41"/>
  <c r="F27" i="41" s="1"/>
  <c r="J60" i="14" s="1"/>
  <c r="E62" i="41"/>
  <c r="F66" i="41"/>
  <c r="S117" i="18"/>
  <c r="D92" i="14"/>
  <c r="D93" i="14" s="1"/>
  <c r="F94" i="14"/>
  <c r="I94" i="14"/>
  <c r="E94" i="14"/>
  <c r="G94" i="14"/>
  <c r="D98" i="14"/>
  <c r="H27" i="41" l="1"/>
  <c r="J59" i="14" s="1"/>
  <c r="P27" i="41"/>
  <c r="N27" i="41"/>
  <c r="G33" i="41"/>
  <c r="G27" i="42"/>
  <c r="O27" i="41"/>
  <c r="M27" i="41"/>
  <c r="K97" i="20"/>
  <c r="M66" i="20"/>
  <c r="X66" i="20" s="1"/>
  <c r="K67" i="20"/>
  <c r="M110" i="20"/>
  <c r="X110" i="20" s="1"/>
  <c r="K111" i="20"/>
  <c r="K112" i="20"/>
  <c r="K36" i="20"/>
  <c r="S96" i="20"/>
  <c r="M82" i="20"/>
  <c r="K83" i="20"/>
  <c r="K17" i="20"/>
  <c r="K16" i="20"/>
  <c r="D94" i="14"/>
  <c r="Q82" i="20" l="1"/>
  <c r="X82" i="20"/>
  <c r="N33" i="41"/>
  <c r="M33" i="41"/>
  <c r="P33" i="41"/>
  <c r="O33" i="41"/>
  <c r="H33" i="41"/>
  <c r="H27" i="42"/>
  <c r="G33" i="42"/>
  <c r="H33" i="42" s="1"/>
  <c r="C59" i="14"/>
  <c r="J96" i="14"/>
  <c r="J92" i="14"/>
  <c r="H9" i="44"/>
  <c r="W82" i="20"/>
  <c r="M96" i="20"/>
  <c r="Q110" i="20"/>
  <c r="W110" i="20"/>
  <c r="Q66" i="20"/>
  <c r="W66" i="20"/>
  <c r="M35" i="20"/>
  <c r="S35" i="20"/>
  <c r="M83" i="20"/>
  <c r="S97" i="20"/>
  <c r="S82" i="20"/>
  <c r="M111" i="20"/>
  <c r="W111" i="20" s="1"/>
  <c r="M17" i="20"/>
  <c r="X17" i="20" s="1"/>
  <c r="M67" i="20"/>
  <c r="M112" i="20"/>
  <c r="M16" i="20"/>
  <c r="Q15" i="20"/>
  <c r="S110" i="20"/>
  <c r="S66" i="20"/>
  <c r="S15" i="20"/>
  <c r="Q112" i="20" l="1"/>
  <c r="X112" i="20"/>
  <c r="Q67" i="20"/>
  <c r="X67" i="20"/>
  <c r="Q96" i="20"/>
  <c r="X96" i="20"/>
  <c r="Q35" i="20"/>
  <c r="X35" i="20"/>
  <c r="Q83" i="20"/>
  <c r="X83" i="20"/>
  <c r="I9" i="44"/>
  <c r="I37" i="44" s="1"/>
  <c r="X16" i="20"/>
  <c r="C92" i="14"/>
  <c r="C93" i="14" s="1"/>
  <c r="J93" i="14"/>
  <c r="J94" i="14"/>
  <c r="C94" i="14" s="1"/>
  <c r="J98" i="14"/>
  <c r="C98" i="14" s="1"/>
  <c r="C96" i="14"/>
  <c r="H37" i="44"/>
  <c r="H14" i="44"/>
  <c r="J14" i="44" s="1"/>
  <c r="L14" i="44" s="1"/>
  <c r="M14" i="44" s="1"/>
  <c r="H16" i="44"/>
  <c r="J16" i="44" s="1"/>
  <c r="L16" i="44" s="1"/>
  <c r="M16" i="44" s="1"/>
  <c r="H13" i="44"/>
  <c r="J13" i="44" s="1"/>
  <c r="L13" i="44" s="1"/>
  <c r="M13" i="44" s="1"/>
  <c r="H17" i="44"/>
  <c r="H15" i="44"/>
  <c r="J15" i="44" s="1"/>
  <c r="L15" i="44" s="1"/>
  <c r="M15" i="44" s="1"/>
  <c r="H11" i="44"/>
  <c r="J11" i="44" s="1"/>
  <c r="L11" i="44" s="1"/>
  <c r="M11" i="44" s="1"/>
  <c r="H10" i="44"/>
  <c r="J10" i="44" s="1"/>
  <c r="L10" i="44" s="1"/>
  <c r="M10" i="44" s="1"/>
  <c r="H12" i="44"/>
  <c r="J12" i="44" s="1"/>
  <c r="L12" i="44" s="1"/>
  <c r="M12" i="44" s="1"/>
  <c r="W96" i="20"/>
  <c r="W83" i="20"/>
  <c r="M36" i="20"/>
  <c r="Q17" i="20"/>
  <c r="W17" i="20"/>
  <c r="Q16" i="20"/>
  <c r="W16" i="20"/>
  <c r="S17" i="20"/>
  <c r="S83" i="20"/>
  <c r="W67" i="20"/>
  <c r="S111" i="20"/>
  <c r="S36" i="20"/>
  <c r="S16" i="20"/>
  <c r="M97" i="20"/>
  <c r="W35" i="20"/>
  <c r="W112" i="20"/>
  <c r="S67" i="20"/>
  <c r="I18" i="44" l="1"/>
  <c r="I21" i="44"/>
  <c r="I20" i="44"/>
  <c r="I22" i="44"/>
  <c r="I24" i="44"/>
  <c r="I19" i="44"/>
  <c r="I23" i="44"/>
  <c r="Q97" i="20"/>
  <c r="X97" i="20"/>
  <c r="Q36" i="20"/>
  <c r="X36" i="20"/>
  <c r="H23" i="44"/>
  <c r="H19" i="44"/>
  <c r="H24" i="44"/>
  <c r="H22" i="44"/>
  <c r="J17" i="44"/>
  <c r="L17" i="44" s="1"/>
  <c r="M17" i="44" s="1"/>
  <c r="H21" i="44"/>
  <c r="H20" i="44"/>
  <c r="H18" i="44"/>
  <c r="J18" i="44" s="1"/>
  <c r="L18" i="44" s="1"/>
  <c r="M18" i="44" s="1"/>
  <c r="L60" i="18"/>
  <c r="O60" i="18" s="1"/>
  <c r="W97" i="20"/>
  <c r="W36" i="20"/>
  <c r="H48" i="18"/>
  <c r="H50" i="18" s="1"/>
  <c r="H44" i="18"/>
  <c r="H56" i="18"/>
  <c r="J21" i="44" l="1"/>
  <c r="L21" i="44" s="1"/>
  <c r="M21" i="44" s="1"/>
  <c r="J20" i="44"/>
  <c r="L20" i="44" s="1"/>
  <c r="M20" i="44" s="1"/>
  <c r="J24" i="44"/>
  <c r="L24" i="44" s="1"/>
  <c r="M24" i="44" s="1"/>
  <c r="J22" i="44"/>
  <c r="L22" i="44" s="1"/>
  <c r="M22" i="44" s="1"/>
  <c r="J19" i="44"/>
  <c r="L19" i="44" s="1"/>
  <c r="M19" i="44" s="1"/>
  <c r="J23" i="44"/>
  <c r="L23" i="44" s="1"/>
  <c r="M23" i="44" s="1"/>
  <c r="L71" i="18"/>
  <c r="N60" i="18"/>
  <c r="R60" i="18" s="1"/>
  <c r="H58" i="18"/>
  <c r="H52" i="18"/>
  <c r="H4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s>
  <commentList>
    <comment ref="I14" authorId="0" shapeId="0" xr:uid="{00000000-0006-0000-0000-000001000000}">
      <text>
        <r>
          <rPr>
            <b/>
            <sz val="8"/>
            <color indexed="81"/>
            <rFont val="Tahoma"/>
            <family val="2"/>
          </rPr>
          <t>Joe Miller:</t>
        </r>
        <r>
          <rPr>
            <sz val="8"/>
            <color indexed="81"/>
            <rFont val="Tahoma"/>
            <family val="2"/>
          </rPr>
          <t xml:space="preserve">
Includes Unbilled</t>
        </r>
      </text>
    </comment>
    <comment ref="J14" authorId="0" shapeId="0" xr:uid="{7A3BCD58-6391-4117-B302-DFDC1DF44A4B}">
      <text>
        <r>
          <rPr>
            <b/>
            <sz val="8"/>
            <color indexed="81"/>
            <rFont val="Tahoma"/>
            <family val="2"/>
          </rPr>
          <t>Joe Miller:</t>
        </r>
        <r>
          <rPr>
            <sz val="8"/>
            <color indexed="81"/>
            <rFont val="Tahoma"/>
            <family val="2"/>
          </rPr>
          <t xml:space="preserve">
Includes Unbilled</t>
        </r>
      </text>
    </comment>
    <comment ref="F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F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F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I13" authorId="0" shapeId="0" xr:uid="{19ED7C1E-FD22-4B57-B835-AA6EAEB5BC0C}">
      <text>
        <r>
          <rPr>
            <sz val="8"/>
            <color indexed="81"/>
            <rFont val="Tahoma"/>
            <family val="2"/>
          </rPr>
          <t xml:space="preserve">Change the cell range named Bill1Base2 to '2'.
Copy the values from col. D to this column.
Change the cell range named Bill1Base2 back to '1'.
Add impact of BPA ResEx for Schs 12, 22, 32 below since Sch 59 rates are not included in Rate Design tab.
Residential includes estimate of Low Income bill discount </t>
        </r>
      </text>
    </comment>
    <comment ref="I41" authorId="0" shapeId="0" xr:uid="{00000000-0006-0000-0200-000001000000}">
      <text>
        <r>
          <rPr>
            <sz val="8"/>
            <color indexed="81"/>
            <rFont val="Tahoma"/>
            <family val="2"/>
          </rPr>
          <t xml:space="preserve">Change the cell range named Bill1Base2 to '2'.
Copy the values from col. D to this column.
Change the cell range named Bill1Base2 back to '1'.
Add impact of BPA ResEx for Schs 12, 22, 32 below since Sch 59 rates are not included in Rate Design tab.
Residential includes estimate of Low Income bill discount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111"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149" authorId="0" shapeId="0" xr:uid="{00000000-0006-0000-0900-000003000000}">
      <text>
        <r>
          <rPr>
            <b/>
            <sz val="9"/>
            <color indexed="81"/>
            <rFont val="Tahoma"/>
            <family val="2"/>
          </rPr>
          <t>Joe Miller:</t>
        </r>
        <r>
          <rPr>
            <sz val="9"/>
            <color indexed="81"/>
            <rFont val="Tahoma"/>
            <family val="2"/>
          </rPr>
          <t xml:space="preserve">
no PVD
</t>
        </r>
      </text>
    </comment>
    <comment ref="D150" authorId="0" shapeId="0" xr:uid="{00000000-0006-0000-0900-000004000000}">
      <text>
        <r>
          <rPr>
            <b/>
            <sz val="9"/>
            <color indexed="81"/>
            <rFont val="Tahoma"/>
            <family val="2"/>
          </rPr>
          <t>Joe Miller:</t>
        </r>
        <r>
          <rPr>
            <sz val="9"/>
            <color indexed="81"/>
            <rFont val="Tahoma"/>
            <family val="2"/>
          </rPr>
          <t xml:space="preserve">
no PVD
</t>
        </r>
      </text>
    </comment>
    <comment ref="D151" authorId="1"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Moon, Lindsey</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AL34" authorId="1" shapeId="0" xr:uid="{CAC6E128-520A-4F5D-A714-14A1E6131133}">
      <text>
        <r>
          <rPr>
            <b/>
            <sz val="9"/>
            <color indexed="81"/>
            <rFont val="Tahoma"/>
            <family val="2"/>
          </rPr>
          <t>Miller, Joe:</t>
        </r>
        <r>
          <rPr>
            <sz val="9"/>
            <color indexed="81"/>
            <rFont val="Tahoma"/>
            <family val="2"/>
          </rPr>
          <t xml:space="preserve">
not on tariff sheet</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D39" authorId="0" shapeId="0" xr:uid="{00000000-0006-0000-0B00-00000A000000}">
      <text>
        <r>
          <rPr>
            <b/>
            <sz val="8"/>
            <color indexed="81"/>
            <rFont val="Tahoma"/>
            <family val="2"/>
          </rPr>
          <t>Joe Miller:</t>
        </r>
        <r>
          <rPr>
            <sz val="8"/>
            <color indexed="81"/>
            <rFont val="Tahoma"/>
            <family val="2"/>
          </rPr>
          <t xml:space="preserve">
Coded as 474C on shortcuts.  Capital only portion of lights</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1" authorId="1" shapeId="0" xr:uid="{4E05D5EF-94FF-46DB-A77E-F1A55097CA6E}">
      <text>
        <r>
          <rPr>
            <b/>
            <sz val="9"/>
            <color indexed="81"/>
            <rFont val="Tahoma"/>
            <family val="2"/>
          </rPr>
          <t>Miller, Joe:</t>
        </r>
        <r>
          <rPr>
            <sz val="9"/>
            <color indexed="81"/>
            <rFont val="Tahoma"/>
            <family val="2"/>
          </rPr>
          <t xml:space="preserve">
not on tariff sheet</t>
        </r>
      </text>
    </comment>
    <comment ref="AL64" authorId="1" shapeId="0" xr:uid="{00000000-0006-0000-0B00-00000B000000}">
      <text>
        <r>
          <rPr>
            <b/>
            <sz val="9"/>
            <color indexed="81"/>
            <rFont val="Tahoma"/>
            <family val="2"/>
          </rPr>
          <t>Miller, Joe:</t>
        </r>
        <r>
          <rPr>
            <sz val="9"/>
            <color indexed="81"/>
            <rFont val="Tahoma"/>
            <family val="2"/>
          </rPr>
          <t xml:space="preserve">
not on tariff sheet</t>
        </r>
      </text>
    </comment>
    <comment ref="AL67" authorId="1" shapeId="0" xr:uid="{00000000-0006-0000-0B00-00000C000000}">
      <text>
        <r>
          <rPr>
            <b/>
            <sz val="9"/>
            <color indexed="81"/>
            <rFont val="Tahoma"/>
            <family val="2"/>
          </rPr>
          <t>Miller, Joe:</t>
        </r>
        <r>
          <rPr>
            <sz val="9"/>
            <color indexed="81"/>
            <rFont val="Tahoma"/>
            <family val="2"/>
          </rPr>
          <t xml:space="preserve">
not on tariff sheet</t>
        </r>
      </text>
    </comment>
    <comment ref="AL70" authorId="1" shapeId="0" xr:uid="{00000000-0006-0000-0B00-00000D000000}">
      <text>
        <r>
          <rPr>
            <b/>
            <sz val="9"/>
            <color indexed="81"/>
            <rFont val="Tahoma"/>
            <family val="2"/>
          </rPr>
          <t>Miller, Joe:</t>
        </r>
        <r>
          <rPr>
            <sz val="9"/>
            <color indexed="81"/>
            <rFont val="Tahoma"/>
            <family val="2"/>
          </rPr>
          <t xml:space="preserve">
not on tariff sheet</t>
        </r>
      </text>
    </comment>
    <comment ref="AL73" authorId="1" shapeId="0" xr:uid="{00000000-0006-0000-0B00-00000E000000}">
      <text>
        <r>
          <rPr>
            <b/>
            <sz val="9"/>
            <color indexed="81"/>
            <rFont val="Tahoma"/>
            <family val="2"/>
          </rPr>
          <t>Miller, Joe:</t>
        </r>
        <r>
          <rPr>
            <sz val="9"/>
            <color indexed="81"/>
            <rFont val="Tahoma"/>
            <family val="2"/>
          </rPr>
          <t xml:space="preserve">
not on tariff sheet</t>
        </r>
      </text>
    </comment>
    <comment ref="AL77" authorId="1" shapeId="0" xr:uid="{00000000-0006-0000-0B00-00000F000000}">
      <text>
        <r>
          <rPr>
            <b/>
            <sz val="9"/>
            <color indexed="81"/>
            <rFont val="Tahoma"/>
            <family val="2"/>
          </rPr>
          <t>Miller, Joe:</t>
        </r>
        <r>
          <rPr>
            <sz val="9"/>
            <color indexed="81"/>
            <rFont val="Tahoma"/>
            <family val="2"/>
          </rPr>
          <t xml:space="preserve">
not on tariff sheet</t>
        </r>
      </text>
    </comment>
    <comment ref="I78" authorId="0" shapeId="0" xr:uid="{00000000-0006-0000-0B00-000010000000}">
      <text>
        <r>
          <rPr>
            <b/>
            <sz val="9"/>
            <color indexed="81"/>
            <rFont val="Tahoma"/>
            <family val="2"/>
          </rPr>
          <t>Joe Miller:</t>
        </r>
        <r>
          <rPr>
            <sz val="9"/>
            <color indexed="81"/>
            <rFont val="Tahoma"/>
            <family val="2"/>
          </rPr>
          <t xml:space="preserve">
Add to tariff sheet</t>
        </r>
      </text>
    </comment>
    <comment ref="AL78"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F3A9145D-BF2C-4FE3-8CA4-2BB3BF3B6857}">
      <text>
        <r>
          <rPr>
            <b/>
            <sz val="9"/>
            <color indexed="81"/>
            <rFont val="Tahoma"/>
            <family val="2"/>
          </rPr>
          <t>Miller, Joe:</t>
        </r>
        <r>
          <rPr>
            <sz val="9"/>
            <color indexed="81"/>
            <rFont val="Tahoma"/>
            <family val="2"/>
          </rPr>
          <t xml:space="preserve">
not on tariff sheet</t>
        </r>
      </text>
    </comment>
    <comment ref="AL91" authorId="1" shapeId="0" xr:uid="{00000000-0006-0000-0B00-000012000000}">
      <text>
        <r>
          <rPr>
            <b/>
            <sz val="9"/>
            <color indexed="81"/>
            <rFont val="Tahoma"/>
            <family val="2"/>
          </rPr>
          <t>Miller, Joe:</t>
        </r>
        <r>
          <rPr>
            <sz val="9"/>
            <color indexed="81"/>
            <rFont val="Tahoma"/>
            <family val="2"/>
          </rPr>
          <t xml:space="preserve">
not on tariff sheet</t>
        </r>
      </text>
    </comment>
    <comment ref="AL94" authorId="1" shapeId="0" xr:uid="{00000000-0006-0000-0B00-000013000000}">
      <text>
        <r>
          <rPr>
            <b/>
            <sz val="9"/>
            <color indexed="81"/>
            <rFont val="Tahoma"/>
            <family val="2"/>
          </rPr>
          <t>Miller, Joe:</t>
        </r>
        <r>
          <rPr>
            <sz val="9"/>
            <color indexed="81"/>
            <rFont val="Tahoma"/>
            <family val="2"/>
          </rPr>
          <t xml:space="preserve">
not on tariff sheet</t>
        </r>
      </text>
    </comment>
    <comment ref="AL96" authorId="1" shapeId="0" xr:uid="{00000000-0006-0000-0B00-000014000000}">
      <text>
        <r>
          <rPr>
            <b/>
            <sz val="9"/>
            <color indexed="81"/>
            <rFont val="Tahoma"/>
            <family val="2"/>
          </rPr>
          <t>Miller, Joe:</t>
        </r>
        <r>
          <rPr>
            <sz val="9"/>
            <color indexed="81"/>
            <rFont val="Tahoma"/>
            <family val="2"/>
          </rPr>
          <t xml:space="preserve">
not on tariff sheet</t>
        </r>
      </text>
    </comment>
    <comment ref="I102"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6"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7"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8" authorId="0" shapeId="0" xr:uid="{00000000-0006-0000-0B00-000018000000}">
      <text>
        <r>
          <rPr>
            <b/>
            <sz val="8"/>
            <color indexed="81"/>
            <rFont val="Tahoma"/>
            <family val="2"/>
          </rPr>
          <t>Joe Miller:</t>
        </r>
        <r>
          <rPr>
            <sz val="8"/>
            <color indexed="81"/>
            <rFont val="Tahoma"/>
            <family val="2"/>
          </rPr>
          <t xml:space="preserve">
Coded as 533C on Shortcuts</t>
        </r>
      </text>
    </comment>
    <comment ref="L130"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3"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2" shapeId="0" xr:uid="{F2297AA4-4337-4A1E-93CB-C62FAC53E888}">
      <text>
        <r>
          <rPr>
            <b/>
            <sz val="9"/>
            <color indexed="81"/>
            <rFont val="Tahoma"/>
            <family val="2"/>
          </rPr>
          <t>Moon, Lindsey:</t>
        </r>
        <r>
          <rPr>
            <sz val="9"/>
            <color indexed="81"/>
            <rFont val="Tahoma"/>
            <family val="2"/>
          </rPr>
          <t xml:space="preserve">
Moved down from above</t>
        </r>
      </text>
    </comment>
    <comment ref="I153" authorId="2" shapeId="0" xr:uid="{5C7078B4-D0D9-496E-8233-4182F0A7ED78}">
      <text>
        <r>
          <rPr>
            <b/>
            <sz val="9"/>
            <color indexed="81"/>
            <rFont val="Tahoma"/>
            <family val="2"/>
          </rPr>
          <t>Moon, Lindsey:</t>
        </r>
        <r>
          <rPr>
            <sz val="9"/>
            <color indexed="81"/>
            <rFont val="Tahoma"/>
            <family val="2"/>
          </rPr>
          <t xml:space="preserve">
Moved down from above</t>
        </r>
      </text>
    </comment>
    <comment ref="I154" authorId="2" shapeId="0" xr:uid="{3B96DC9B-631C-4857-8A3C-DC95E02DCDE7}">
      <text>
        <r>
          <rPr>
            <b/>
            <sz val="9"/>
            <color indexed="81"/>
            <rFont val="Tahoma"/>
            <family val="2"/>
          </rPr>
          <t>Moon, Lindsey:</t>
        </r>
        <r>
          <rPr>
            <sz val="9"/>
            <color indexed="81"/>
            <rFont val="Tahoma"/>
            <family val="2"/>
          </rPr>
          <t xml:space="preserve">
Moved down from above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D33" authorId="1" shapeId="0" xr:uid="{23EDA7FC-985B-4728-8BF0-7F52917AFB77}">
      <text>
        <r>
          <rPr>
            <b/>
            <sz val="9"/>
            <color indexed="81"/>
            <rFont val="Tahoma"/>
            <family val="2"/>
          </rPr>
          <t>Moon, Lindsey:</t>
        </r>
        <r>
          <rPr>
            <sz val="9"/>
            <color indexed="81"/>
            <rFont val="Tahoma"/>
            <family val="2"/>
          </rPr>
          <t xml:space="preserve">
HPPL</t>
        </r>
      </text>
    </comment>
    <comment ref="Q51" authorId="2"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<sst xmlns="http://schemas.openxmlformats.org/spreadsheetml/2006/main" count="3219" uniqueCount="935">
  <si>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</si>
  <si>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</si>
  <si>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</si>
  <si>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</si>
  <si>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</si>
  <si>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</si>
  <si>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</si>
  <si>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</si>
  <si>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</si>
  <si>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</si>
  <si>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</si>
  <si>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</si>
  <si>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</si>
  <si>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</si>
  <si>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</si>
  <si>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</si>
  <si>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</si>
  <si>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</si>
  <si>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</si>
  <si>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</si>
  <si>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</si>
  <si>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</si>
  <si>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</si>
  <si>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</si>
  <si>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</si>
  <si>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</si>
  <si>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</si>
  <si>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</si>
  <si>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</si>
  <si>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</si>
  <si>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</si>
  <si>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</si>
  <si>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</si>
  <si>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</si>
  <si>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</si>
  <si>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</si>
  <si>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</si>
  <si>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</si>
  <si>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</si>
  <si>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</si>
  <si>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</si>
  <si>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</si>
  <si>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</si>
  <si>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</si>
  <si>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</si>
  <si>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</si>
  <si>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</si>
  <si>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</si>
  <si>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</si>
  <si>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</si>
  <si>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</si>
  <si>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</si>
  <si>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</si>
  <si>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</si>
  <si>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</si>
  <si>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</si>
  <si>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</si>
  <si>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</si>
  <si>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</si>
  <si>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</si>
  <si>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</si>
  <si>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</si>
  <si>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</si>
  <si>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kva over 3,000</t>
  </si>
  <si>
    <t>Total</t>
  </si>
  <si>
    <t>Schedule 30, 31, &amp; 32</t>
  </si>
  <si>
    <t>Revenue Runs from this sheet</t>
  </si>
  <si>
    <t>less:</t>
  </si>
  <si>
    <t>Diff</t>
  </si>
  <si>
    <t>Washington Schedule 25 Billing Determinants</t>
  </si>
  <si>
    <t>Annual</t>
  </si>
  <si>
    <t>Acct No.</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</si>
  <si>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</si>
  <si>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</si>
  <si>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</si>
  <si>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</si>
  <si>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</si>
  <si>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</si>
  <si>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</si>
  <si>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</si>
  <si>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</si>
  <si>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</si>
  <si>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</si>
  <si>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</si>
  <si>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</si>
  <si>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</si>
  <si>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</si>
  <si>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</si>
  <si>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</si>
  <si>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</si>
  <si>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</si>
  <si>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</si>
  <si>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</si>
  <si>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</si>
  <si>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</si>
  <si>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</si>
  <si>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</si>
  <si>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</si>
  <si>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</si>
  <si>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</si>
  <si>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</si>
  <si>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</si>
  <si>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</si>
  <si>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</si>
  <si>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</si>
  <si>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</si>
  <si>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</si>
  <si>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</si>
  <si>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</si>
  <si>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</si>
  <si>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</si>
  <si>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</si>
  <si>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</si>
  <si>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</si>
  <si>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</si>
  <si>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</si>
  <si>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</si>
  <si>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</si>
  <si>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</si>
  <si>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</si>
  <si>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</si>
  <si>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</si>
  <si>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</si>
  <si>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</si>
  <si>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</si>
  <si>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</si>
  <si>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</si>
  <si>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</si>
  <si>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</si>
  <si>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</si>
  <si>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</si>
  <si>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</si>
  <si>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</si>
  <si>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</si>
  <si>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</si>
  <si>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Floodlight on existing standard</t>
  </si>
  <si>
    <t>HAH</t>
  </si>
  <si>
    <t>Kim light w/25' fiberglass pole</t>
  </si>
  <si>
    <t>HAI</t>
  </si>
  <si>
    <t>WA</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</si>
  <si>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</si>
  <si>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</si>
  <si>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</si>
  <si>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</si>
  <si>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</si>
  <si>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</si>
  <si>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</si>
  <si>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</si>
  <si>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</si>
  <si>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</si>
  <si>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</si>
  <si>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</si>
  <si>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</si>
  <si>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</si>
  <si>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</si>
  <si>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</si>
  <si>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</si>
  <si>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</si>
  <si>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</si>
  <si>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</si>
  <si>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</si>
  <si>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</si>
  <si>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</si>
  <si>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</si>
  <si>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</si>
  <si>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</si>
  <si>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</si>
  <si>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</si>
  <si>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</si>
  <si>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</si>
  <si>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</si>
  <si>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</si>
  <si>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MVN</t>
  </si>
  <si>
    <t>none</t>
  </si>
  <si>
    <t>n/a</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</si>
  <si>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</si>
  <si>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</si>
  <si>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</si>
  <si>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</si>
  <si>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</si>
  <si>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</si>
  <si>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</si>
  <si>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</si>
  <si>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</si>
  <si>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</si>
  <si>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</si>
  <si>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</si>
  <si>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</si>
  <si>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</si>
  <si>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</si>
  <si>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</si>
  <si>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</si>
  <si>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</si>
  <si>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</si>
  <si>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</si>
  <si>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</si>
  <si>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</si>
  <si>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</si>
  <si>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</si>
  <si>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</si>
  <si>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</si>
  <si>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</si>
  <si>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</si>
  <si>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</si>
  <si>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</si>
  <si>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</si>
  <si>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</si>
  <si>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</si>
  <si>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</si>
  <si>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</si>
  <si>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</si>
  <si>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</si>
  <si>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</si>
  <si>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</si>
  <si>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</si>
  <si>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</si>
  <si>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</si>
  <si>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</si>
  <si>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</si>
  <si>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</si>
  <si>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</si>
  <si>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</si>
  <si>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</si>
  <si>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</si>
  <si>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</si>
  <si>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</si>
  <si>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</si>
  <si>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</si>
  <si>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</si>
  <si>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</si>
  <si>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</si>
  <si>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</si>
  <si>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</si>
  <si>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</si>
  <si>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</si>
  <si>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</si>
  <si>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</si>
  <si>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</si>
  <si>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</si>
  <si>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</si>
  <si>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</si>
  <si>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</si>
  <si>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</si>
  <si>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</si>
  <si>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</si>
  <si>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</si>
  <si>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</si>
  <si>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</si>
  <si>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</si>
  <si>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</si>
  <si>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</si>
  <si>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</si>
  <si>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</si>
  <si>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</si>
  <si>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</si>
  <si>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</si>
  <si>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</si>
  <si>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</si>
  <si>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</si>
  <si>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</si>
  <si>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</si>
  <si>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</si>
  <si>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</si>
  <si>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</si>
  <si>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</si>
  <si>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</si>
  <si>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</si>
  <si>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</si>
  <si>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</si>
  <si>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</si>
  <si>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</si>
  <si>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</si>
  <si>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</si>
  <si>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</si>
  <si>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</si>
  <si>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</si>
  <si>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</si>
  <si>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</si>
  <si>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</si>
  <si>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</si>
  <si>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</si>
  <si>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</si>
  <si>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</si>
  <si>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</si>
  <si>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</si>
  <si>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</si>
  <si>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</si>
  <si>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</si>
  <si>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</si>
  <si>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</si>
  <si>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</si>
  <si>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</si>
  <si>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</si>
  <si>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</si>
  <si>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</si>
  <si>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</si>
  <si>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</si>
  <si>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</si>
  <si>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</si>
  <si>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</si>
  <si>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</si>
  <si>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</si>
  <si>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</si>
  <si>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</si>
  <si>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</si>
  <si>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</si>
  <si>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</si>
  <si>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</si>
  <si>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</si>
  <si>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</si>
  <si>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</si>
  <si>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</si>
  <si>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</si>
  <si>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</si>
  <si>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</si>
  <si>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This worksheet uses Base &amp; Billing rates from 'Rate Design' tab.</t>
  </si>
  <si>
    <t>This worksheet pulls data from 'Pres &amp; Prop Rev' tab.</t>
  </si>
  <si>
    <t>Targeted Rate Increase</t>
  </si>
  <si>
    <t>Present:</t>
  </si>
  <si>
    <t>Proposed:</t>
  </si>
  <si>
    <t>check - &lt; $6k is rounding</t>
  </si>
  <si>
    <t>41-48</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</si>
  <si>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</si>
  <si>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</si>
  <si>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</si>
  <si>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</si>
  <si>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</si>
  <si>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</si>
  <si>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</si>
  <si>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</si>
  <si>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</si>
  <si>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</si>
  <si>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</si>
  <si>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</si>
  <si>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Schs 41-48 St &amp; Area Lt</t>
  </si>
  <si>
    <t>from Present Rev tab</t>
  </si>
  <si>
    <t>this sheet + SAL</t>
  </si>
  <si>
    <t>Rev. Run customers</t>
  </si>
  <si>
    <t>copy of Total above</t>
  </si>
  <si>
    <t>diff from curr Total above</t>
  </si>
  <si>
    <t>% diff</t>
  </si>
  <si>
    <t>New Billing Rates</t>
  </si>
  <si>
    <t>(j)</t>
  </si>
  <si>
    <t>Total Billings(2)</t>
  </si>
  <si>
    <t>Number of Lights(1)</t>
  </si>
  <si>
    <t># of Lights(1)</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</si>
  <si>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</si>
  <si>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</si>
  <si>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</si>
  <si>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</si>
  <si>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</si>
  <si>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</si>
  <si>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</si>
  <si>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</si>
  <si>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</si>
  <si>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</si>
  <si>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</si>
  <si>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</si>
  <si>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</si>
  <si>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</si>
  <si>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</si>
  <si>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</si>
  <si>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</si>
  <si>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</si>
  <si>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</si>
  <si>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</si>
  <si>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</si>
  <si>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</si>
  <si>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</si>
  <si>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normalize Sch 25</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</si>
  <si>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</si>
  <si>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</si>
  <si>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</si>
  <si>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</si>
  <si>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</si>
  <si>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</si>
  <si>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</si>
  <si>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</si>
  <si>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</si>
  <si>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</si>
  <si>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</si>
  <si>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</si>
  <si>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</si>
  <si>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</si>
  <si>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</si>
  <si>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</si>
  <si>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</si>
  <si>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</si>
  <si>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</si>
  <si>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</si>
  <si>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</si>
  <si>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</si>
  <si>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</si>
  <si>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Decorative Sodium Vapor (Capital Only)</t>
  </si>
  <si>
    <t>Peak</t>
  </si>
  <si>
    <t>Month</t>
  </si>
  <si>
    <t>UNBILLED LOAD KWHS</t>
  </si>
  <si>
    <t>UNBILLED LOAD RATE</t>
  </si>
  <si>
    <t>UNBILLED LOAD REVENUE</t>
  </si>
  <si>
    <t>ADJ. TO ACTUAL/EE ADJ</t>
  </si>
  <si>
    <t>Rates (2)</t>
  </si>
  <si>
    <t xml:space="preserve">from Present Rev tab </t>
  </si>
  <si>
    <t>Single High-Pressure Sodium Vapor (Capital Only)</t>
  </si>
  <si>
    <t>Type of Service</t>
  </si>
  <si>
    <t>Annual Increase (Decrease)</t>
  </si>
  <si>
    <t>Booked Unbilled Reversal</t>
  </si>
  <si>
    <t>Gross Booked Unbilled</t>
  </si>
  <si>
    <t>Gross Unbilled True-up</t>
  </si>
  <si>
    <t>Unbilled Reversal True-up</t>
  </si>
  <si>
    <t>LED (Dusk to Dawn)</t>
  </si>
  <si>
    <t>LED (Dusk to 11:00)</t>
  </si>
  <si>
    <t>Total by Block</t>
  </si>
  <si>
    <t>Determinants</t>
  </si>
  <si>
    <t>Billed Revenue</t>
  </si>
  <si>
    <t>Impact</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</si>
  <si>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</si>
  <si>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</si>
  <si>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</si>
  <si>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</si>
  <si>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</si>
  <si>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</si>
  <si>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</si>
  <si>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</si>
  <si>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</si>
  <si>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</si>
  <si>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</si>
  <si>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</si>
  <si>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</si>
  <si>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</si>
  <si>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</si>
  <si>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</si>
  <si>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</si>
  <si>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</si>
  <si>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</si>
  <si>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</si>
  <si>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</si>
  <si>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</si>
  <si>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</si>
  <si>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</si>
  <si>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Sch 25 Adj</t>
  </si>
  <si>
    <t>Sch shifting</t>
  </si>
  <si>
    <t>Sch Shifting</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</si>
  <si>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</si>
  <si>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</si>
  <si>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</si>
  <si>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</si>
  <si>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</si>
  <si>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</si>
  <si>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</si>
  <si>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</si>
  <si>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</si>
  <si>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</si>
  <si>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</si>
  <si>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</si>
  <si>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</si>
  <si>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</si>
  <si>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</si>
  <si>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</si>
  <si>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</si>
  <si>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</si>
  <si>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</si>
  <si>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</si>
  <si>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</si>
  <si>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</si>
  <si>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</si>
  <si>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</si>
  <si>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</si>
  <si>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</si>
  <si>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</si>
  <si>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</si>
  <si>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</si>
  <si>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</si>
  <si>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</si>
  <si>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kWh's</t>
  </si>
  <si>
    <t>Sch. 93/94</t>
  </si>
  <si>
    <t>ERM/BPA</t>
  </si>
  <si>
    <t>Sch. 98</t>
  </si>
  <si>
    <t>REC Revenue</t>
  </si>
  <si>
    <t>Inc/Dec</t>
  </si>
  <si>
    <t>Dusk to 11 PM</t>
  </si>
  <si>
    <t>Monthly Increase (Decrease)</t>
  </si>
  <si>
    <t>Sch 46 Per kWh Rate</t>
  </si>
  <si>
    <t>Total Usage</t>
  </si>
  <si>
    <t>Load Factor</t>
  </si>
  <si>
    <t>Monthly Average</t>
  </si>
  <si>
    <t>Annual Peak</t>
  </si>
  <si>
    <t>ERM</t>
  </si>
  <si>
    <t>Sch. 93</t>
  </si>
  <si>
    <t>4.16 KV</t>
  </si>
  <si>
    <t>115 KV</t>
  </si>
  <si>
    <t>60 KV</t>
  </si>
  <si>
    <t>Sch 93/94</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</si>
  <si>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</si>
  <si>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</si>
  <si>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</si>
  <si>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</si>
  <si>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</si>
  <si>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</si>
  <si>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</si>
  <si>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</si>
  <si>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</si>
  <si>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</si>
  <si>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</si>
  <si>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</si>
  <si>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</si>
  <si>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</si>
  <si>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</si>
  <si>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</si>
  <si>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</si>
  <si>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</si>
  <si>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</si>
  <si>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</si>
  <si>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</si>
  <si>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</si>
  <si>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</si>
  <si>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</si>
  <si>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</si>
  <si>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LED</t>
  </si>
  <si>
    <t>Minimums:</t>
  </si>
  <si>
    <t>HPAL</t>
  </si>
  <si>
    <t>HPBL</t>
  </si>
  <si>
    <t>HPSL</t>
  </si>
  <si>
    <t>HPEL</t>
  </si>
  <si>
    <t>HPDL</t>
  </si>
  <si>
    <t>HPOL</t>
  </si>
  <si>
    <t>HPLL</t>
  </si>
  <si>
    <t>HPYL</t>
  </si>
  <si>
    <t>HAGL</t>
  </si>
  <si>
    <t>HAPL</t>
  </si>
  <si>
    <t>Schedule 98</t>
  </si>
  <si>
    <t>Schedule 59</t>
  </si>
  <si>
    <t>Schedule 48 only</t>
  </si>
  <si>
    <t>Schedule 41-48 only</t>
  </si>
  <si>
    <t>Schedule 98 (REC Revenue Rebate)</t>
  </si>
  <si>
    <t>248W</t>
  </si>
  <si>
    <t>831L</t>
  </si>
  <si>
    <t>832L</t>
  </si>
  <si>
    <t>835L</t>
  </si>
  <si>
    <t>836L</t>
  </si>
  <si>
    <t>842L</t>
  </si>
  <si>
    <t>HPCL</t>
  </si>
  <si>
    <t>HPGL</t>
  </si>
  <si>
    <t>35' wood pole</t>
  </si>
  <si>
    <t>Schedule 91 (DSM)</t>
  </si>
  <si>
    <t>Schedule 91</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</si>
  <si>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</si>
  <si>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</si>
  <si>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</si>
  <si>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</si>
  <si>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</si>
  <si>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</si>
  <si>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</si>
  <si>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</si>
  <si>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</si>
  <si>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</si>
  <si>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</si>
  <si>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</si>
  <si>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</si>
  <si>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</si>
  <si>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</si>
  <si>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</si>
  <si>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</si>
  <si>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</si>
  <si>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</si>
  <si>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</si>
  <si>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</si>
  <si>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</si>
  <si>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</si>
  <si>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</si>
  <si>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</si>
  <si>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</si>
  <si>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</si>
  <si>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</si>
  <si>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</si>
  <si>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</si>
  <si>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</si>
  <si>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</si>
  <si>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</si>
  <si>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</si>
  <si>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</si>
  <si>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</si>
  <si>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</si>
  <si>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</si>
  <si>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</si>
  <si>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</si>
  <si>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</si>
  <si>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</si>
  <si>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</si>
  <si>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</si>
  <si>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</si>
  <si>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</si>
  <si>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</si>
  <si>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1,2</t>
  </si>
  <si>
    <t>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</si>
  <si>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</si>
  <si>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</si>
  <si>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</si>
  <si>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</si>
  <si>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</si>
  <si>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</si>
  <si>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</si>
  <si>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</si>
  <si>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</si>
  <si>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</si>
  <si>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</si>
  <si>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</si>
  <si>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</si>
  <si>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</si>
  <si>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</si>
  <si>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</si>
  <si>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</si>
  <si>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</si>
  <si>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</si>
  <si>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</si>
  <si>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</si>
  <si>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</si>
  <si>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</si>
  <si>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</si>
  <si>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546T</t>
  </si>
  <si>
    <t>835T</t>
  </si>
  <si>
    <t>Schedule 2 only</t>
  </si>
  <si>
    <t>RIDER 75</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</si>
  <si>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</si>
  <si>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</si>
  <si>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</si>
  <si>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</si>
  <si>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</si>
  <si>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</si>
  <si>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</si>
  <si>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</si>
  <si>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</si>
  <si>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</si>
  <si>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</si>
  <si>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</si>
  <si>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</si>
  <si>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</si>
  <si>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</si>
  <si>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</si>
  <si>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</si>
  <si>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</si>
  <si>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</si>
  <si>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First 85 kW/kWh</t>
  </si>
  <si>
    <t>Next 80 kW/kWh</t>
  </si>
  <si>
    <t>Rate Adjustment</t>
  </si>
  <si>
    <t>Adjusted Billed</t>
  </si>
  <si>
    <t>Adjustment</t>
  </si>
  <si>
    <t>Adjusted</t>
  </si>
  <si>
    <t>30' steel pole</t>
  </si>
  <si>
    <t>Total Revenue</t>
  </si>
  <si>
    <t>Unbilled Usage</t>
  </si>
  <si>
    <t>RIDER 74</t>
  </si>
  <si>
    <t>AMI OPT OUT</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</si>
  <si>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</si>
  <si>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</si>
  <si>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</si>
  <si>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</si>
  <si>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</si>
  <si>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</si>
  <si>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</si>
  <si>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</si>
  <si>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</si>
  <si>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</si>
  <si>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</si>
  <si>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</si>
  <si>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</si>
  <si>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</si>
  <si>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</si>
  <si>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</si>
  <si>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</si>
  <si>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</si>
  <si>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</si>
  <si>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</si>
  <si>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</si>
  <si>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</si>
  <si>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</si>
  <si>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</si>
  <si>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</si>
  <si>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</si>
  <si>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</si>
  <si>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</si>
  <si>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</si>
  <si>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</si>
  <si>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</si>
  <si>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</si>
  <si>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</si>
  <si>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</si>
  <si>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</si>
  <si>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</si>
  <si>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</si>
  <si>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</si>
  <si>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</si>
  <si>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</si>
  <si>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</si>
  <si>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</si>
  <si>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</si>
  <si>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</si>
  <si>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</si>
  <si>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</si>
  <si>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</si>
  <si>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</si>
  <si>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</si>
  <si>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</si>
  <si>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</si>
  <si>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</si>
  <si>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</si>
  <si>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</si>
  <si>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t>LIRAP</t>
  </si>
  <si>
    <t>Sch. 92</t>
  </si>
  <si>
    <t>LIRAP Rate</t>
  </si>
  <si>
    <t>All light codes notated with a "T" are not on the tariff sheets.</t>
  </si>
  <si>
    <t>WASHINGTON Street Lights (Schedule 41 - 46 Rates)</t>
  </si>
  <si>
    <t>WASHINGTON Area Lights (Schedule 47)</t>
  </si>
  <si>
    <t xml:space="preserve">Net </t>
  </si>
  <si>
    <t xml:space="preserve">Base </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</si>
  <si>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</si>
  <si>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</si>
  <si>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</si>
  <si>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</si>
  <si>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</si>
  <si>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</si>
  <si>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</si>
  <si>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</si>
  <si>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</si>
  <si>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</si>
  <si>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</si>
  <si>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</si>
  <si>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</si>
  <si>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</si>
  <si>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</si>
  <si>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</si>
  <si>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</si>
  <si>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</si>
  <si>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</si>
  <si>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</si>
  <si>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</si>
  <si>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</si>
  <si>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</si>
  <si>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HARL</t>
  </si>
  <si>
    <t>HPZL</t>
  </si>
  <si>
    <t>30 steel pole pedestal base (Dev Contr)</t>
  </si>
  <si>
    <t>on existing standard (Capital Only</t>
  </si>
  <si>
    <t>(1) from JDM-E-12/14</t>
  </si>
  <si>
    <t>(2) from JDM-E-13/14</t>
  </si>
  <si>
    <t>Schedule 93 (ERM)</t>
  </si>
  <si>
    <t>Schedule 92 (LIRAP)</t>
  </si>
  <si>
    <t>kWhs per billing run</t>
  </si>
  <si>
    <t>Total kWhs per Rev. Run</t>
  </si>
  <si>
    <t>kWhs per Revenue Run</t>
  </si>
  <si>
    <t>kWhs per billing run (30,31&amp; 32)</t>
  </si>
  <si>
    <t>SCH. 13</t>
  </si>
  <si>
    <t>SCH. 23</t>
  </si>
  <si>
    <t>SCHEDULE 25I</t>
  </si>
  <si>
    <t>SCH. 25I</t>
  </si>
  <si>
    <t>25I</t>
  </si>
  <si>
    <t>Schedule 13</t>
  </si>
  <si>
    <t>Schedule 23</t>
  </si>
  <si>
    <t>Schedule 25I</t>
  </si>
  <si>
    <t>Schedule 013</t>
  </si>
  <si>
    <t>0025I</t>
  </si>
  <si>
    <t>025I</t>
  </si>
  <si>
    <t>Schedule 023</t>
  </si>
  <si>
    <t>Schedule Shifting</t>
  </si>
  <si>
    <t>Schedule 25I KWH</t>
  </si>
  <si>
    <t>Schedule 25I Total</t>
  </si>
  <si>
    <t>Schedule 25I kVA</t>
  </si>
  <si>
    <t>Customer Total</t>
  </si>
  <si>
    <t>Transportation - Large General Service</t>
  </si>
  <si>
    <t>Transportation - General Service</t>
  </si>
  <si>
    <t>Transportation General Services - Schedule 13</t>
  </si>
  <si>
    <t>Transportation Large General Service - Schedule 23</t>
  </si>
  <si>
    <t>On-Peak</t>
  </si>
  <si>
    <t>Off-Peak</t>
  </si>
  <si>
    <t>in excess of 3,000 kVA</t>
  </si>
  <si>
    <t>25I KVA</t>
  </si>
  <si>
    <t>Calc Revenue for 25I</t>
  </si>
  <si>
    <t>Less transfer from 25 to 25I (Cust 9)</t>
  </si>
  <si>
    <t>Less Customer Closing (Cust 15)</t>
  </si>
  <si>
    <t>Sch 25 Present Primary Voltage Discount</t>
  </si>
  <si>
    <t>Sch 25 Proposed Primary Voltage Discount</t>
  </si>
  <si>
    <t>Sch 25I Present Primary Voltage Discount</t>
  </si>
  <si>
    <t>Revenue for 25I per Bill (less city tax)</t>
  </si>
  <si>
    <t>Manually deducted in Column K</t>
  </si>
  <si>
    <t>from Sp Ct</t>
  </si>
  <si>
    <t>Extra Large General Service Specific Contract - Schedule 25I</t>
  </si>
  <si>
    <t>HPJL</t>
  </si>
  <si>
    <t>021/022/23</t>
  </si>
  <si>
    <t>Sch 25I Proposed Primary Voltage Discount</t>
  </si>
  <si>
    <t>Schedule 25 to 21</t>
  </si>
  <si>
    <t>Extra Large General Service - Special Contract</t>
  </si>
  <si>
    <t>202207</t>
  </si>
  <si>
    <t>202208</t>
  </si>
  <si>
    <t>202209</t>
  </si>
  <si>
    <t>202210</t>
  </si>
  <si>
    <t>202211</t>
  </si>
  <si>
    <t>202212</t>
  </si>
  <si>
    <t>202301</t>
  </si>
  <si>
    <t>202302</t>
  </si>
  <si>
    <t>202303</t>
  </si>
  <si>
    <t>202304</t>
  </si>
  <si>
    <t>202305</t>
  </si>
  <si>
    <t>202306</t>
  </si>
  <si>
    <t>"Rev Norm Bill Determininant 12 ME Report" for Report Date : '06/30/2023'</t>
  </si>
  <si>
    <t>"Rev Norm Unbill 12 ME Report" for Report Date : '06/30/2023'</t>
  </si>
  <si>
    <t>Schedule 11,12</t>
  </si>
  <si>
    <t>Schedule 21,22</t>
  </si>
  <si>
    <t>MDM-10069 Report as of 10/1/2023</t>
  </si>
  <si>
    <t>894L</t>
  </si>
  <si>
    <t>Actual Revenue Runs</t>
  </si>
  <si>
    <t>pull down below and present rate, will delete codes out</t>
  </si>
  <si>
    <t>Sch 25I</t>
  </si>
  <si>
    <t>12 MONTHS ENDED JUNE 30, 2023</t>
  </si>
  <si>
    <t>30' steel pole (pedestal base)</t>
  </si>
  <si>
    <t>Avista</t>
  </si>
  <si>
    <t>Electric</t>
  </si>
  <si>
    <t>Rate Spread</t>
  </si>
  <si>
    <t>Percentage</t>
  </si>
  <si>
    <t xml:space="preserve">LIRAP </t>
  </si>
  <si>
    <t>Tax</t>
  </si>
  <si>
    <t xml:space="preserve">Total </t>
  </si>
  <si>
    <t>of Base</t>
  </si>
  <si>
    <t>GRC</t>
  </si>
  <si>
    <t>Extra Large General Service - Specific Contract</t>
  </si>
  <si>
    <t>Revenue Requirement</t>
  </si>
  <si>
    <t>LIRAP Change</t>
  </si>
  <si>
    <t>x 2</t>
  </si>
  <si>
    <t>Base Increase</t>
  </si>
  <si>
    <t>MWh</t>
  </si>
  <si>
    <t>$ Per MWh Change</t>
  </si>
  <si>
    <t>Special Contract Rate Spread</t>
  </si>
  <si>
    <t>Rate Calculation</t>
  </si>
  <si>
    <t>IEP Rate Factor</t>
  </si>
  <si>
    <t>IEP MWh's</t>
  </si>
  <si>
    <t>IEP Increase</t>
  </si>
  <si>
    <t>Rate Factor Calculation for future Special Contract Rate Changes</t>
  </si>
  <si>
    <t>UE-190334</t>
  </si>
  <si>
    <t>Rate Year Revenue</t>
  </si>
  <si>
    <t>Rate Factor</t>
  </si>
  <si>
    <t>Special Contract</t>
  </si>
  <si>
    <t>Schedule 99 (Colstrip)</t>
  </si>
  <si>
    <t>Schedule 88 (Wildfire)</t>
  </si>
  <si>
    <t>Schedule 78 (Tax)</t>
  </si>
  <si>
    <t>Adder Schedules</t>
  </si>
  <si>
    <t>RY2</t>
  </si>
  <si>
    <t>Bill Impact</t>
  </si>
  <si>
    <t>Schedule 001 Bill Impact</t>
  </si>
  <si>
    <t>Schedule 001 Present</t>
  </si>
  <si>
    <t>Schedule 001 Proposed</t>
  </si>
  <si>
    <t>Total Bill</t>
  </si>
  <si>
    <t>Exhibit B - Rate Design</t>
  </si>
  <si>
    <t>DSM</t>
  </si>
  <si>
    <t>Rate Factor Calculation for future IEP Special Contract Rate Changes from UE-200900</t>
  </si>
  <si>
    <t>Extra Large Special Contract</t>
  </si>
  <si>
    <t>First 500,000 kWhs</t>
  </si>
  <si>
    <t>500,000 - 6,000,000 kWhs</t>
  </si>
  <si>
    <t>All over 6,000,000 kWhs</t>
  </si>
  <si>
    <t>3,000 kva or less</t>
  </si>
  <si>
    <t>Over 3,000 kva</t>
  </si>
  <si>
    <t>Total Present Revenue</t>
  </si>
  <si>
    <t>Total Proposed Revenue</t>
  </si>
  <si>
    <t>Capital Recovery Factor Calculation</t>
  </si>
  <si>
    <t>Present - UE-120436</t>
  </si>
  <si>
    <t>Cost of Capital</t>
  </si>
  <si>
    <t>Source</t>
  </si>
  <si>
    <t>Capital</t>
  </si>
  <si>
    <t>Component</t>
  </si>
  <si>
    <t>Weighted</t>
  </si>
  <si>
    <t>Structure</t>
  </si>
  <si>
    <t>Cost</t>
  </si>
  <si>
    <t>Long Term Debt</t>
  </si>
  <si>
    <t>Preferred Equity</t>
  </si>
  <si>
    <t>Common Equity</t>
  </si>
  <si>
    <t>Grossed-up Rate of Return</t>
  </si>
  <si>
    <t>Tax Gross-up Factor</t>
  </si>
  <si>
    <t>Weighted ROE * Tax Gross-up</t>
  </si>
  <si>
    <t>1.611 * 4.606%</t>
  </si>
  <si>
    <t>1.325 * 4.95%</t>
  </si>
  <si>
    <t>1.324 * 4.540%</t>
  </si>
  <si>
    <t>Preferred Equity * Tax Gross-up</t>
  </si>
  <si>
    <t>1.611 * 0.000%</t>
  </si>
  <si>
    <t>1.325 * 0.000%</t>
  </si>
  <si>
    <t>1.324 * 0.000%</t>
  </si>
  <si>
    <t>Test Year</t>
  </si>
  <si>
    <t>Effective</t>
  </si>
  <si>
    <t>Account</t>
  </si>
  <si>
    <t>Plant in</t>
  </si>
  <si>
    <t>Depreciation</t>
  </si>
  <si>
    <t>Expense</t>
  </si>
  <si>
    <t>373 - Street Lighting</t>
  </si>
  <si>
    <t>Revenue Conversion Factor (Before FIT)</t>
  </si>
  <si>
    <t>Grossed-Up Depreciation Rate</t>
  </si>
  <si>
    <t>*From Cost of Service (Knox)</t>
  </si>
  <si>
    <t xml:space="preserve">Capital Recovery Factor </t>
  </si>
  <si>
    <t>The total level of revenue requirement assigned to IEP will be updated as a result of any base rate percentage changes approved for Schedule 25 by the WUTC that occur after Docket UE-200900. A Schedule 25 rate factor will be established equal to the Special Contract rate divided by Schedule 25’s final base rate approved in UE-200900, where rates are expressed as rate year revenue divided by rate year MWh. The Special Contract rate change will be equal to the Schedule 25 rate factor times the Schedule 25 rate change. For example, if Avista’s rate request in UE-200900 results in Schedule 25 revenue of $40 million and load of 600,000 MWh, Schedule 25 rates will be $66.67/MWh. If the Special Contract revenue is set at $22 million with a load of 440,000 MWh the Special Contract rate will be $50/MWh, resulting in a rate factor of 0.75. For subsequent base rate changes, the Special Contract rate change under this example will, therefore, be 75 percent of the Schedule 25 $/MWh rate change.</t>
  </si>
  <si>
    <t>Approved - UE- 220053</t>
  </si>
  <si>
    <t>$25.00 Single Phase Service</t>
  </si>
  <si>
    <t>$32.35 Three Phase Service</t>
  </si>
  <si>
    <r>
      <t xml:space="preserve">(1) </t>
    </r>
    <r>
      <rPr>
        <u/>
        <sz val="10"/>
        <rFont val="Arial"/>
        <family val="2"/>
      </rPr>
      <t>Excludes</t>
    </r>
    <r>
      <rPr>
        <sz val="10"/>
        <rFont val="Arial"/>
        <family val="2"/>
      </rPr>
      <t xml:space="preserve"> all present rate adjustments:  Schedule 59 (BPA Residential Exchange), Schedule 61 (IV Funding, Schedule 66 (Insurance), Schedule 75 (Decoupling), </t>
    </r>
  </si>
  <si>
    <r>
      <t>(2) In</t>
    </r>
    <r>
      <rPr>
        <u/>
        <sz val="10"/>
        <rFont val="Arial"/>
        <family val="2"/>
      </rPr>
      <t>cludes</t>
    </r>
    <r>
      <rPr>
        <sz val="10"/>
        <rFont val="Arial"/>
        <family val="2"/>
      </rPr>
      <t xml:space="preserve"> all present rate adjustments:  Schedule 59 (BPA Residential Exchange), Schedule 61 (IV Funding, Schedule 66 (Insurance), Schedule 75 (Decoupling), </t>
    </r>
  </si>
  <si>
    <r>
      <t>(2) In</t>
    </r>
    <r>
      <rPr>
        <u/>
        <sz val="10"/>
        <rFont val="Arial"/>
        <family val="2"/>
      </rPr>
      <t>cludes</t>
    </r>
    <r>
      <rPr>
        <sz val="10"/>
        <rFont val="Arial"/>
        <family val="2"/>
      </rPr>
      <t xml:space="preserve"> all present rate adjustments:  Schedule 59 (BPA Residential Exchange), Schedule 61 (IV Funding, </t>
    </r>
  </si>
  <si>
    <t xml:space="preserve">    Schedule 91 (DSM), Schedule 92 (LIRAP),Schedule 93 (ERM), Schedule 98 (REC Revenue) and Schedule 99 (Colstrip).</t>
  </si>
  <si>
    <t>Unbilled (used billed data)</t>
  </si>
  <si>
    <t>1</t>
  </si>
  <si>
    <t>SCH. 1</t>
  </si>
  <si>
    <t>Schedule 1</t>
  </si>
  <si>
    <t xml:space="preserve">     Schedule 78 (Tax Credit), Schedule 88 (Wildfire), Schedule 91 (DSM), Schedule 92 (LIRAP), Schedule 93 (ERM), Schedule 98 (REC Revenue) and Schedule 99 (Colstrip).</t>
  </si>
  <si>
    <t xml:space="preserve">     Schedule 66 (Insurance), Schedule 75 (Decoupling), Schedule 78 (Tax Credit), Schedule 88 (Wildfire), </t>
  </si>
  <si>
    <t/>
  </si>
  <si>
    <t>Rate Year 1</t>
  </si>
  <si>
    <t>Rate Year 2</t>
  </si>
  <si>
    <t>$30.00 Single Phase Service</t>
  </si>
  <si>
    <t>$37.35 Three Phase Service</t>
  </si>
  <si>
    <t>Sch 99</t>
  </si>
  <si>
    <t>Colstrip</t>
  </si>
  <si>
    <t>Schedule 99</t>
  </si>
  <si>
    <t>Reduction</t>
  </si>
  <si>
    <t>Sch. 99</t>
  </si>
  <si>
    <t>Residential TOU Service - Schedule 7</t>
  </si>
  <si>
    <t>Residential TOU Morning Discount Service - Schedule 8</t>
  </si>
  <si>
    <t>Off-Peak Morning Discount</t>
  </si>
  <si>
    <t>General TOU Service - Schedule 17</t>
  </si>
  <si>
    <t>General TOU Morning Discount Service - Schedule 18</t>
  </si>
  <si>
    <t>Rate Reduction</t>
  </si>
  <si>
    <t>Revenue with</t>
  </si>
  <si>
    <t>Colstrip Offset</t>
  </si>
  <si>
    <t>(l)</t>
  </si>
  <si>
    <t>with Colstrip Offset</t>
  </si>
  <si>
    <t>without Colstrip Offset</t>
  </si>
  <si>
    <t>Present Avg Bill</t>
  </si>
  <si>
    <t>Proposed Avg Bill</t>
  </si>
  <si>
    <t>Cell Q8; 1 for base, 2 for billed</t>
  </si>
  <si>
    <t>Increase on</t>
  </si>
  <si>
    <t>GRC Billed</t>
  </si>
  <si>
    <t>Proposed - UE- 240006</t>
  </si>
  <si>
    <t>*From Cost of Service (Garbarino)</t>
  </si>
  <si>
    <t>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</si>
</sst>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0">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_(&quot;$&quot;* #,##0.00000_);_(&quot;$&quot;* \(#,##0.00000\);_(&quot;$&quot;* &quot;-&quot;??_);_(@_)"/>
    <numFmt numFmtId="193" formatCode="&quot;$&quot;#,##0.000_);\(&quot;$&quot;#,##0.000\)"/>
    <numFmt numFmtId="194" formatCode="[$-409]mmm\-yy;@"/>
    <numFmt numFmtId="195" formatCode="[$-F800]dddd\,\ mmmm\ dd\,\ yyyy"/>
    <numFmt numFmtId="196" formatCode="mmmm\ d\,\ yyyy"/>
    <numFmt numFmtId="197" formatCode="[$-409]mmmm\-yy;@"/>
    <numFmt numFmtId="198" formatCode="#,##0_%_);\(#,##0\)_%;#,##0_%_);@_%_)"/>
    <numFmt numFmtId="199" formatCode="_._.* #,##0.0_)_%;_._.* \(#,##0.0\)_%"/>
    <numFmt numFmtId="200" formatCode="_._.* #,##0.00_)_%;_._.* \(#,##0.00\)_%"/>
    <numFmt numFmtId="201" formatCode="_._.* #,##0.000_)_%;_._.* \(#,##0.000\)_%"/>
    <numFmt numFmtId="202" formatCode="_(* #,##0.00_);_(* \(\ #,##0.00\ \);_(* &quot;-&quot;??_);_(\ @_ \)"/>
    <numFmt numFmtId="203" formatCode="_._.* #,##0_)_%;_._.* #,##0_)_%;_._.* 0_)_%;_._.@_)_%"/>
    <numFmt numFmtId="204" formatCode="_._.&quot;$&quot;* #,##0.0_)_%;_._.&quot;$&quot;* \(#,##0.0\)_%"/>
    <numFmt numFmtId="205" formatCode="_._.&quot;$&quot;* #,##0.00_)_%;_._.&quot;$&quot;* \(#,##0.00\)_%"/>
    <numFmt numFmtId="206" formatCode="_._.&quot;$&quot;* #,##0.000_)_%;_._.&quot;$&quot;* \(#,##0.000\)_%"/>
    <numFmt numFmtId="207" formatCode="_._.&quot;$&quot;* #,###_)_%;_._.&quot;$&quot;* #,###_)_%;_._.&quot;$&quot;* 0_)_%;_._.@_)_%"/>
    <numFmt numFmtId="208" formatCode="#,###,##0.00;\(#,###,##0.00\)"/>
    <numFmt numFmtId="209" formatCode="#,###,##0;\(#,###,##0\)"/>
    <numFmt numFmtId="210" formatCode="0.0"/>
    <numFmt numFmtId="211" formatCode="_(&quot;$&quot;* #,##0.0_);_(&quot;$&quot;* \(#,##0.0\);_(&quot;$&quot;* &quot;-&quot;??_);_(@_)"/>
    <numFmt numFmtId="212" formatCode="&quot;$&quot;#,###,##0.00;\(&quot;$&quot;#,###,##0.00\)"/>
    <numFmt numFmtId="213" formatCode="&quot;$&quot;#,###,##0;\(&quot;$&quot;#,###,##0\)"/>
    <numFmt numFmtId="214" formatCode="#,##0.00%;\(#,##0.00%\)"/>
    <numFmt numFmtId="215" formatCode="_(0_)%;\(0\)%"/>
    <numFmt numFmtId="216" formatCode="_._._(* 0_)%;_._.* \(0\)%"/>
    <numFmt numFmtId="217" formatCode="_(0.0_)%;\(0.0\)%"/>
    <numFmt numFmtId="218" formatCode="_._._(* 0.0_)%;_._.* \(0.0\)%"/>
    <numFmt numFmtId="219" formatCode="_(0.00_)%;\(0.00\)%"/>
    <numFmt numFmtId="220" formatCode="_._._(* 0.00_)%;_._.* \(0.00\)%"/>
    <numFmt numFmtId="221" formatCode="_(0.000_)%;\(0.000\)%"/>
    <numFmt numFmtId="222" formatCode="_._._(* 0.000_)%;_._.* \(0.000\)%"/>
    <numFmt numFmtId="223" formatCode="_(0.0000_)%;\(0.0000\)%"/>
    <numFmt numFmtId="224" formatCode="_._._(* 0.0000_)%;_._.* \(0.0000\)%"/>
    <numFmt numFmtId="225" formatCode="_(* #,##0_);_(* \(#,##0\);_(* 0_);_(@_)"/>
    <numFmt numFmtId="226" formatCode="_(* #,##0.0_);_(* \(#,##0.0\)"/>
    <numFmt numFmtId="227" formatCode="_(* #,##0.00_);_(* \(#,##0.00\)"/>
    <numFmt numFmtId="228" formatCode="_(* #,##0.000_);_(* \(#,##0.000\)"/>
    <numFmt numFmtId="229" formatCode="_(&quot;$&quot;* #,##0_);_(&quot;$&quot;* \(#,##0\);_(&quot;$&quot;* 0_);_(@_)"/>
    <numFmt numFmtId="230" formatCode="_(&quot;$&quot;* #,##0.0_);_(&quot;$&quot;* \(#,##0.0\)"/>
    <numFmt numFmtId="231" formatCode="_(&quot;$&quot;* #,##0.00_);_(&quot;$&quot;* \(#,##0.00\)"/>
    <numFmt numFmtId="232" formatCode="_(&quot;$&quot;* #,##0.000_);_(&quot;$&quot;* \(#,##0.000\)"/>
    <numFmt numFmtId="233" formatCode="#,##0.0_x_x"/>
    <numFmt numFmtId="234" formatCode="&quot;$&quot;#,##0\ ;\(&quot;$&quot;#,##0\)"/>
    <numFmt numFmtId="235" formatCode="0.0000%"/>
    <numFmt numFmtId="236" formatCode="0.000"/>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sz val="10"/>
      <color rgb="FFFF0000"/>
      <name val="Arial"/>
      <family val="2"/>
    </font>
    <font>
      <sz val="9"/>
      <color rgb="FFFF0000"/>
      <name val="Geneva"/>
    </font>
    <font>
      <sz val="8"/>
      <color rgb="FFFF0000"/>
      <name val="Geneva"/>
    </font>
    <font>
      <b/>
      <u/>
      <sz val="12"/>
      <name val="Arial"/>
      <family val="2"/>
    </font>
    <font>
      <sz val="12"/>
      <color rgb="FF0000FF"/>
      <name val="Arial"/>
      <family val="2"/>
    </font>
  </fonts>
  <fills count="8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7E5E5"/>
      </patternFill>
    </fill>
    <fill>
      <patternFill patternType="solid">
        <fgColor rgb="FFDEE6F2"/>
      </patternFill>
    </fill>
    <fill>
      <patternFill patternType="solid">
        <fgColor rgb="FFBDDAF3"/>
      </patternFill>
    </fill>
    <fill>
      <patternFill patternType="solid">
        <fgColor rgb="FFBBDCFD"/>
      </patternFill>
    </fill>
    <fill>
      <patternFill patternType="solid">
        <fgColor rgb="FF99CCFF"/>
      </patternFill>
    </fill>
    <fill>
      <patternFill patternType="solid">
        <fgColor rgb="FFFFC000"/>
        <bgColor indexed="64"/>
      </patternFill>
    </fill>
    <fill>
      <patternFill patternType="solid">
        <fgColor rgb="FFFFFF99"/>
        <bgColor indexed="64"/>
      </patternFill>
    </fill>
  </fills>
  <borders count="81">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
      <left style="medium">
        <color rgb="FFC0C0C0"/>
      </left>
      <right style="medium">
        <color rgb="FFC0C0C0"/>
      </right>
      <top style="medium">
        <color rgb="FFC0C0C0"/>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diagonal/>
    </border>
    <border>
      <left style="thin">
        <color indexed="8"/>
      </left>
      <right style="thin">
        <color indexed="8"/>
      </right>
      <top/>
      <bottom/>
      <diagonal/>
    </border>
    <border>
      <left/>
      <right style="thin">
        <color indexed="8"/>
      </right>
      <top/>
      <bottom/>
      <diagonal/>
    </border>
    <border>
      <left/>
      <right style="medium">
        <color indexed="8"/>
      </right>
      <top/>
      <bottom/>
      <diagonal/>
    </border>
    <border>
      <left style="medium">
        <color indexed="8"/>
      </left>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style="thin">
        <color indexed="8"/>
      </right>
      <top style="double">
        <color indexed="8"/>
      </top>
      <bottom style="medium">
        <color indexed="8"/>
      </bottom>
      <diagonal/>
    </border>
    <border>
      <left/>
      <right style="medium">
        <color indexed="8"/>
      </right>
      <top style="double">
        <color indexed="8"/>
      </top>
      <bottom style="medium">
        <color indexed="8"/>
      </bottom>
      <diagonal/>
    </border>
    <border>
      <left/>
      <right/>
      <top style="double">
        <color indexed="8"/>
      </top>
      <bottom style="medium">
        <color indexed="8"/>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43230">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8"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2" fillId="0" borderId="0" applyFont="0" applyFill="0" applyBorder="0" applyAlignment="0" applyProtection="0"/>
    <xf numFmtId="44" fontId="9" fillId="0" borderId="0" applyFont="0" applyFill="0" applyBorder="0" applyAlignment="0" applyProtection="0"/>
    <xf numFmtId="44" fontId="62"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2" fillId="0" borderId="0"/>
    <xf numFmtId="0" fontId="63" fillId="0" borderId="0"/>
    <xf numFmtId="0" fontId="33" fillId="0" borderId="0"/>
    <xf numFmtId="0" fontId="62" fillId="0" borderId="0"/>
    <xf numFmtId="0" fontId="33" fillId="0" borderId="0"/>
    <xf numFmtId="0" fontId="9" fillId="0" borderId="0"/>
    <xf numFmtId="0" fontId="9" fillId="0" borderId="0"/>
    <xf numFmtId="0" fontId="64" fillId="0" borderId="0"/>
    <xf numFmtId="0" fontId="9" fillId="0" borderId="0"/>
    <xf numFmtId="9" fontId="33"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38" fontId="66" fillId="0" borderId="0" applyNumberFormat="0" applyFont="0" applyFill="0" applyBorder="0">
      <alignment horizontal="left" indent="4"/>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8" fillId="0" borderId="3">
      <alignment horizontal="center"/>
    </xf>
    <xf numFmtId="3" fontId="67" fillId="0" borderId="0" applyFont="0" applyFill="0" applyBorder="0" applyAlignment="0" applyProtection="0"/>
    <xf numFmtId="0" fontId="67" fillId="12" borderId="0" applyNumberFormat="0" applyFont="0" applyBorder="0" applyAlignment="0" applyProtection="0"/>
    <xf numFmtId="164" fontId="62" fillId="2" borderId="0" applyFont="0" applyFill="0" applyBorder="0" applyAlignment="0" applyProtection="0">
      <alignment wrapText="1"/>
    </xf>
    <xf numFmtId="0" fontId="9" fillId="13" borderId="0" applyNumberFormat="0" applyFont="0" applyFill="0" applyBorder="0" applyAlignment="0" applyProtection="0"/>
    <xf numFmtId="0" fontId="69" fillId="0" borderId="0" applyNumberFormat="0" applyFill="0" applyBorder="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0" fontId="73" fillId="14" borderId="0" applyNumberFormat="0" applyBorder="0" applyAlignment="0" applyProtection="0"/>
    <xf numFmtId="0" fontId="74" fillId="15" borderId="0" applyNumberFormat="0" applyBorder="0" applyAlignment="0" applyProtection="0"/>
    <xf numFmtId="0" fontId="75" fillId="16" borderId="0" applyNumberFormat="0" applyBorder="0" applyAlignment="0" applyProtection="0"/>
    <xf numFmtId="0" fontId="76" fillId="17" borderId="19" applyNumberFormat="0" applyAlignment="0" applyProtection="0"/>
    <xf numFmtId="0" fontId="77" fillId="18" borderId="20" applyNumberFormat="0" applyAlignment="0" applyProtection="0"/>
    <xf numFmtId="0" fontId="78" fillId="18" borderId="19" applyNumberFormat="0" applyAlignment="0" applyProtection="0"/>
    <xf numFmtId="0" fontId="79" fillId="0" borderId="21" applyNumberFormat="0" applyFill="0" applyAlignment="0" applyProtection="0"/>
    <xf numFmtId="0" fontId="80" fillId="19" borderId="22"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4" applyNumberFormat="0" applyFill="0" applyAlignment="0" applyProtection="0"/>
    <xf numFmtId="0" fontId="8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84" fillId="36" borderId="0" applyNumberFormat="0" applyBorder="0" applyAlignment="0" applyProtection="0"/>
    <xf numFmtId="0" fontId="8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4" fillId="44"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5" fillId="0" borderId="0"/>
    <xf numFmtId="0" fontId="87"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8" fillId="0" borderId="0"/>
    <xf numFmtId="9" fontId="9"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5" borderId="0" applyFont="0" applyFill="0" applyBorder="0" applyAlignment="0" applyProtection="0"/>
    <xf numFmtId="5" fontId="9" fillId="45" borderId="0" applyFont="0" applyFill="0" applyBorder="0" applyAlignment="0" applyProtection="0"/>
    <xf numFmtId="0" fontId="9" fillId="45" borderId="0" applyFont="0" applyFill="0" applyBorder="0" applyAlignment="0" applyProtection="0"/>
    <xf numFmtId="2" fontId="9" fillId="45" borderId="0" applyFont="0" applyFill="0" applyBorder="0" applyAlignment="0" applyProtection="0"/>
    <xf numFmtId="41" fontId="89" fillId="2" borderId="25">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0" fontId="88" fillId="0" borderId="0"/>
    <xf numFmtId="44" fontId="9"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88" fillId="0" borderId="0"/>
    <xf numFmtId="9"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8"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9" fillId="0" borderId="0" applyFont="0" applyFill="0" applyBorder="0" applyAlignment="0" applyProtection="0"/>
    <xf numFmtId="0" fontId="33" fillId="0" borderId="0"/>
    <xf numFmtId="9" fontId="8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8" fillId="0" borderId="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9" fontId="88"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88" fillId="0" borderId="0"/>
    <xf numFmtId="9" fontId="58" fillId="0" borderId="0" applyFont="0" applyFill="0" applyBorder="0" applyAlignment="0" applyProtection="0"/>
    <xf numFmtId="0" fontId="58"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88"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88" fillId="0" borderId="0"/>
    <xf numFmtId="44" fontId="9" fillId="0" borderId="0" applyFont="0" applyFill="0" applyBorder="0" applyAlignment="0" applyProtection="0"/>
    <xf numFmtId="0" fontId="88" fillId="0" borderId="0"/>
    <xf numFmtId="0" fontId="88" fillId="0" borderId="0"/>
    <xf numFmtId="44" fontId="9" fillId="0" borderId="0" applyFont="0" applyFill="0" applyBorder="0" applyAlignment="0" applyProtection="0"/>
    <xf numFmtId="0" fontId="7" fillId="0" borderId="0"/>
    <xf numFmtId="9" fontId="5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88" fillId="0" borderId="0"/>
    <xf numFmtId="9" fontId="88" fillId="0" borderId="0" applyFont="0" applyFill="0" applyBorder="0" applyAlignment="0" applyProtection="0"/>
    <xf numFmtId="9" fontId="58"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0" fontId="58" fillId="0" borderId="0"/>
    <xf numFmtId="43" fontId="33" fillId="0" borderId="0" applyFont="0" applyFill="0" applyBorder="0" applyAlignment="0" applyProtection="0"/>
    <xf numFmtId="0" fontId="33" fillId="0" borderId="0"/>
    <xf numFmtId="0" fontId="9" fillId="0" borderId="0"/>
    <xf numFmtId="43" fontId="58"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88"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8" fillId="0" borderId="0"/>
    <xf numFmtId="43" fontId="58"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58" fillId="0" borderId="0"/>
    <xf numFmtId="44" fontId="9" fillId="0" borderId="0" applyFont="0" applyFill="0" applyBorder="0" applyAlignment="0" applyProtection="0"/>
    <xf numFmtId="0" fontId="58" fillId="0" borderId="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0" fontId="8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58" fillId="0" borderId="0"/>
    <xf numFmtId="43" fontId="9"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9" fillId="0" borderId="0" applyFont="0" applyFill="0" applyBorder="0" applyAlignment="0" applyProtection="0"/>
    <xf numFmtId="0" fontId="58" fillId="0" borderId="0"/>
    <xf numFmtId="0" fontId="7" fillId="38" borderId="0" applyNumberFormat="0" applyBorder="0" applyAlignment="0" applyProtection="0"/>
    <xf numFmtId="0" fontId="7" fillId="39"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9" fontId="33"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8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58"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9" fontId="9"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8" fillId="0" borderId="0"/>
    <xf numFmtId="0" fontId="9" fillId="0" borderId="0"/>
    <xf numFmtId="0" fontId="88" fillId="0" borderId="0"/>
    <xf numFmtId="0" fontId="7" fillId="22" borderId="0" applyNumberFormat="0" applyBorder="0" applyAlignment="0" applyProtection="0"/>
    <xf numFmtId="0" fontId="7" fillId="23" borderId="0" applyNumberFormat="0" applyBorder="0" applyAlignment="0" applyProtection="0"/>
    <xf numFmtId="9"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0" fontId="33" fillId="0" borderId="0"/>
    <xf numFmtId="0" fontId="7" fillId="38" borderId="0" applyNumberFormat="0" applyBorder="0" applyAlignment="0" applyProtection="0"/>
    <xf numFmtId="0" fontId="7" fillId="39" borderId="0" applyNumberFormat="0" applyBorder="0" applyAlignment="0" applyProtection="0"/>
    <xf numFmtId="0" fontId="5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0" fontId="7" fillId="22" borderId="0" applyNumberFormat="0" applyBorder="0" applyAlignment="0" applyProtection="0"/>
    <xf numFmtId="0" fontId="7" fillId="23" borderId="0" applyNumberFormat="0" applyBorder="0" applyAlignment="0" applyProtection="0"/>
    <xf numFmtId="43"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44" fontId="9" fillId="0" borderId="0" applyFont="0" applyFill="0" applyBorder="0" applyAlignment="0" applyProtection="0"/>
    <xf numFmtId="0" fontId="58" fillId="0" borderId="0"/>
    <xf numFmtId="0" fontId="7" fillId="34" borderId="0" applyNumberFormat="0" applyBorder="0" applyAlignment="0" applyProtection="0"/>
    <xf numFmtId="0" fontId="7" fillId="35" borderId="0" applyNumberFormat="0" applyBorder="0" applyAlignment="0" applyProtection="0"/>
    <xf numFmtId="0" fontId="9" fillId="0" borderId="0"/>
    <xf numFmtId="0" fontId="7" fillId="38" borderId="0" applyNumberFormat="0" applyBorder="0" applyAlignment="0" applyProtection="0"/>
    <xf numFmtId="0" fontId="7" fillId="39" borderId="0" applyNumberFormat="0" applyBorder="0" applyAlignment="0" applyProtection="0"/>
    <xf numFmtId="43" fontId="9" fillId="0" borderId="0" applyFont="0" applyFill="0" applyBorder="0" applyAlignment="0" applyProtection="0"/>
    <xf numFmtId="9" fontId="88"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0" borderId="0"/>
    <xf numFmtId="0" fontId="7" fillId="26" borderId="0" applyNumberFormat="0" applyBorder="0" applyAlignment="0" applyProtection="0"/>
    <xf numFmtId="0" fontId="7" fillId="27" borderId="0" applyNumberFormat="0" applyBorder="0" applyAlignment="0" applyProtection="0"/>
    <xf numFmtId="0" fontId="9" fillId="0" borderId="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9" fontId="58" fillId="0" borderId="0" applyFont="0" applyFill="0" applyBorder="0" applyAlignment="0" applyProtection="0"/>
    <xf numFmtId="9"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33"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8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8" fillId="0" borderId="0"/>
    <xf numFmtId="44" fontId="33"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88" fillId="0" borderId="0"/>
    <xf numFmtId="44" fontId="9"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58" fillId="0" borderId="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58" fillId="0" borderId="0" applyFont="0" applyFill="0" applyBorder="0" applyAlignment="0" applyProtection="0"/>
    <xf numFmtId="0" fontId="33" fillId="0" borderId="0"/>
    <xf numFmtId="0" fontId="7" fillId="38" borderId="0" applyNumberFormat="0" applyBorder="0" applyAlignment="0" applyProtection="0"/>
    <xf numFmtId="0" fontId="7" fillId="39"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9" fontId="9"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3"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3"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9"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88" fillId="0" borderId="0"/>
    <xf numFmtId="3" fontId="8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0"/>
    <xf numFmtId="3" fontId="88" fillId="0" borderId="0"/>
    <xf numFmtId="0" fontId="96" fillId="0" borderId="18" applyNumberFormat="0" applyFill="0" applyAlignment="0" applyProtection="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0" fontId="97" fillId="0" borderId="0" applyBorder="0">
      <alignment horizontal="centerContinuous"/>
    </xf>
    <xf numFmtId="0" fontId="98" fillId="0" borderId="0" applyBorder="0">
      <alignment horizontal="centerContinuous"/>
    </xf>
    <xf numFmtId="0" fontId="99" fillId="47" borderId="0">
      <alignment horizontal="right"/>
    </xf>
    <xf numFmtId="0" fontId="98" fillId="47" borderId="9"/>
    <xf numFmtId="44" fontId="88" fillId="0" borderId="0" applyFont="0" applyFill="0" applyBorder="0" applyAlignment="0" applyProtection="0"/>
    <xf numFmtId="42" fontId="9" fillId="0" borderId="0" applyFont="0" applyFill="0" applyBorder="0" applyAlignment="0" applyProtection="0"/>
    <xf numFmtId="43" fontId="88" fillId="0" borderId="0" applyFont="0" applyFill="0" applyBorder="0" applyAlignment="0" applyProtection="0"/>
    <xf numFmtId="0" fontId="100" fillId="48" borderId="0">
      <alignment horizontal="left"/>
    </xf>
    <xf numFmtId="0" fontId="101" fillId="48" borderId="0">
      <alignment horizontal="right"/>
    </xf>
    <xf numFmtId="0" fontId="101" fillId="48" borderId="0">
      <alignment horizontal="center"/>
    </xf>
    <xf numFmtId="0" fontId="101" fillId="48" borderId="0">
      <alignment horizontal="right"/>
    </xf>
    <xf numFmtId="0" fontId="102" fillId="48" borderId="0">
      <alignment horizontal="left"/>
    </xf>
    <xf numFmtId="41"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9" fontId="88" fillId="0" borderId="0" applyFont="0" applyFill="0" applyBorder="0" applyAlignment="0" applyProtection="0"/>
    <xf numFmtId="0" fontId="5" fillId="27" borderId="0" applyNumberFormat="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0" fillId="48" borderId="0">
      <alignment horizontal="left"/>
    </xf>
    <xf numFmtId="0" fontId="100" fillId="48"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4" fillId="47"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100" fillId="48" borderId="0">
      <alignment horizontal="center"/>
    </xf>
    <xf numFmtId="49" fontId="105" fillId="48" borderId="0">
      <alignment horizontal="center"/>
    </xf>
    <xf numFmtId="0" fontId="101" fillId="48" borderId="0">
      <alignment horizontal="center"/>
    </xf>
    <xf numFmtId="0" fontId="101" fillId="48" borderId="0">
      <alignment horizontal="centerContinuous"/>
    </xf>
    <xf numFmtId="0" fontId="106" fillId="48" borderId="0">
      <alignment horizontal="left"/>
    </xf>
    <xf numFmtId="49" fontId="106" fillId="48" borderId="0">
      <alignment horizontal="center"/>
    </xf>
    <xf numFmtId="0" fontId="100" fillId="48" borderId="0">
      <alignment horizontal="left"/>
    </xf>
    <xf numFmtId="49" fontId="106" fillId="48" borderId="0">
      <alignment horizontal="left"/>
    </xf>
    <xf numFmtId="0" fontId="100" fillId="48" borderId="0">
      <alignment horizontal="centerContinuous"/>
    </xf>
    <xf numFmtId="0" fontId="100" fillId="48" borderId="0">
      <alignment horizontal="right"/>
    </xf>
    <xf numFmtId="49" fontId="100" fillId="48" borderId="0">
      <alignment horizontal="left"/>
    </xf>
    <xf numFmtId="0" fontId="101" fillId="48" borderId="0">
      <alignment horizontal="right"/>
    </xf>
    <xf numFmtId="0" fontId="106" fillId="49" borderId="0">
      <alignment horizontal="center"/>
    </xf>
    <xf numFmtId="0" fontId="107" fillId="49" borderId="0">
      <alignment horizontal="center"/>
    </xf>
    <xf numFmtId="0" fontId="108" fillId="48"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2" fillId="0" borderId="18" applyNumberFormat="0" applyFill="0" applyAlignment="0" applyProtection="0"/>
    <xf numFmtId="43" fontId="5" fillId="0" borderId="0" applyFont="0" applyFill="0" applyBorder="0" applyAlignment="0" applyProtection="0"/>
    <xf numFmtId="194" fontId="33" fillId="3" borderId="0" applyFont="0" applyFill="0" applyBorder="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5" fillId="0" borderId="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9" fontId="65" fillId="0" borderId="0" applyFont="0" applyFill="0" applyBorder="0" applyAlignment="0" applyProtection="0"/>
    <xf numFmtId="0" fontId="5" fillId="0" borderId="0"/>
    <xf numFmtId="0" fontId="52" fillId="0" borderId="0">
      <alignment vertical="top"/>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63"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63"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3" fillId="5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3" fillId="5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63"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3" fillId="5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63"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3" fillId="5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0" fontId="63" fillId="59"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60" borderId="0" applyNumberFormat="0" applyBorder="0" applyAlignment="0" applyProtection="0"/>
    <xf numFmtId="0" fontId="109" fillId="60"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109" fillId="57"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58" borderId="0" applyNumberFormat="0" applyBorder="0" applyAlignment="0" applyProtection="0"/>
    <xf numFmtId="0" fontId="109" fillId="58"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109" fillId="62"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63" borderId="0" applyNumberFormat="0" applyBorder="0" applyAlignment="0" applyProtection="0"/>
    <xf numFmtId="0" fontId="109" fillId="6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64" borderId="0" applyNumberFormat="0" applyBorder="0" applyAlignment="0" applyProtection="0"/>
    <xf numFmtId="0" fontId="109" fillId="6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5" borderId="0" applyNumberFormat="0" applyBorder="0" applyAlignment="0" applyProtection="0"/>
    <xf numFmtId="0" fontId="109" fillId="65"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66" borderId="0" applyNumberFormat="0" applyBorder="0" applyAlignment="0" applyProtection="0"/>
    <xf numFmtId="0" fontId="109" fillId="66"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109" fillId="6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09" fillId="67" borderId="0" applyNumberFormat="0" applyBorder="0" applyAlignment="0" applyProtection="0"/>
    <xf numFmtId="197" fontId="110" fillId="68" borderId="0" applyNumberFormat="0" applyBorder="0" applyAlignment="0" applyProtection="0"/>
    <xf numFmtId="197" fontId="41" fillId="7" borderId="0" applyNumberFormat="0" applyBorder="0" applyAlignment="0" applyProtection="0"/>
    <xf numFmtId="197" fontId="41" fillId="7"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111" fillId="15" borderId="0" applyNumberFormat="0" applyBorder="0" applyAlignment="0" applyProtection="0"/>
    <xf numFmtId="0" fontId="112" fillId="51" borderId="0" applyNumberFormat="0" applyBorder="0" applyAlignment="0" applyProtection="0"/>
    <xf numFmtId="0" fontId="33" fillId="0" borderId="0" applyFill="0" applyBorder="0" applyAlignment="0" applyProtection="0"/>
    <xf numFmtId="0" fontId="78" fillId="18" borderId="19" applyNumberFormat="0" applyAlignment="0" applyProtection="0"/>
    <xf numFmtId="0" fontId="78" fillId="18" borderId="19" applyNumberFormat="0" applyAlignment="0" applyProtection="0"/>
    <xf numFmtId="0" fontId="78" fillId="18" borderId="19" applyNumberFormat="0" applyAlignment="0" applyProtection="0"/>
    <xf numFmtId="0" fontId="78" fillId="69" borderId="19" applyNumberFormat="0" applyAlignment="0" applyProtection="0"/>
    <xf numFmtId="0" fontId="113" fillId="69" borderId="26" applyNumberFormat="0" applyAlignment="0" applyProtection="0"/>
    <xf numFmtId="0" fontId="114" fillId="0" borderId="0" applyFill="0" applyBorder="0" applyProtection="0">
      <alignment horizontal="center" vertical="center"/>
    </xf>
    <xf numFmtId="0" fontId="37" fillId="0" borderId="0" applyFill="0" applyBorder="0" applyProtection="0">
      <alignment horizontal="center"/>
      <protection locked="0"/>
    </xf>
    <xf numFmtId="0" fontId="114" fillId="0" borderId="0" applyFill="0" applyBorder="0" applyProtection="0">
      <alignment horizontal="center" vertical="center"/>
    </xf>
    <xf numFmtId="0" fontId="80" fillId="19" borderId="22" applyNumberFormat="0" applyAlignment="0" applyProtection="0"/>
    <xf numFmtId="0" fontId="80" fillId="19" borderId="22" applyNumberFormat="0" applyAlignment="0" applyProtection="0"/>
    <xf numFmtId="0" fontId="80" fillId="19" borderId="22" applyNumberFormat="0" applyAlignment="0" applyProtection="0"/>
    <xf numFmtId="0" fontId="115" fillId="70" borderId="27" applyNumberFormat="0" applyAlignment="0" applyProtection="0"/>
    <xf numFmtId="0" fontId="116" fillId="0" borderId="3">
      <alignment horizontal="center"/>
    </xf>
    <xf numFmtId="198" fontId="117" fillId="0" borderId="0" applyFont="0" applyFill="0" applyBorder="0" applyAlignment="0" applyProtection="0">
      <alignment horizontal="right"/>
    </xf>
    <xf numFmtId="199" fontId="118" fillId="0" borderId="0" applyFont="0" applyFill="0" applyBorder="0" applyAlignment="0" applyProtection="0"/>
    <xf numFmtId="200" fontId="119" fillId="0" borderId="0" applyFont="0" applyFill="0" applyBorder="0" applyAlignment="0" applyProtection="0"/>
    <xf numFmtId="201" fontId="1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120"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2" fontId="12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118" fillId="0" borderId="0">
      <protection locked="0"/>
    </xf>
    <xf numFmtId="0" fontId="123" fillId="0" borderId="0" applyFill="0" applyBorder="0" applyAlignment="0" applyProtection="0"/>
    <xf numFmtId="0" fontId="90" fillId="0" borderId="0" applyFill="0" applyBorder="0" applyAlignment="0" applyProtection="0">
      <protection locked="0"/>
    </xf>
    <xf numFmtId="0" fontId="123" fillId="0" borderId="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0"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7" fontId="118" fillId="0" borderId="0">
      <protection locked="0"/>
    </xf>
    <xf numFmtId="196" fontId="124" fillId="0" borderId="0" applyFont="0" applyFill="0" applyBorder="0" applyAlignment="0" applyProtection="0"/>
    <xf numFmtId="197" fontId="125" fillId="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208" fontId="127" fillId="0" borderId="0"/>
    <xf numFmtId="209" fontId="127" fillId="0" borderId="0"/>
    <xf numFmtId="164" fontId="127" fillId="0" borderId="0"/>
    <xf numFmtId="209" fontId="127" fillId="0" borderId="0"/>
    <xf numFmtId="210" fontId="127" fillId="0" borderId="0"/>
    <xf numFmtId="210" fontId="127" fillId="0" borderId="0"/>
    <xf numFmtId="208" fontId="127" fillId="0" borderId="0"/>
    <xf numFmtId="211" fontId="127" fillId="0" borderId="0"/>
    <xf numFmtId="212" fontId="127" fillId="0" borderId="0"/>
    <xf numFmtId="213" fontId="127" fillId="0" borderId="0"/>
    <xf numFmtId="214" fontId="127" fillId="0" borderId="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28" fillId="52" borderId="0" applyNumberFormat="0" applyBorder="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129" fillId="0" borderId="28" applyNumberFormat="0" applyFill="0" applyAlignment="0" applyProtection="0"/>
    <xf numFmtId="0" fontId="130" fillId="0" borderId="28"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131" fillId="0" borderId="17" applyNumberFormat="0" applyFill="0" applyAlignment="0" applyProtection="0"/>
    <xf numFmtId="0" fontId="132" fillId="0" borderId="29"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133" fillId="0" borderId="30" applyNumberFormat="0" applyFill="0" applyAlignment="0" applyProtection="0"/>
    <xf numFmtId="0" fontId="134" fillId="0" borderId="30"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197" fontId="135" fillId="47" borderId="0" applyNumberFormat="0" applyBorder="0" applyAlignment="0" applyProtection="0"/>
    <xf numFmtId="0" fontId="76" fillId="17" borderId="19" applyNumberFormat="0" applyAlignment="0" applyProtection="0"/>
    <xf numFmtId="0" fontId="76" fillId="17" borderId="19" applyNumberFormat="0" applyAlignment="0" applyProtection="0"/>
    <xf numFmtId="0" fontId="76" fillId="17" borderId="19" applyNumberFormat="0" applyAlignment="0" applyProtection="0"/>
    <xf numFmtId="0" fontId="136" fillId="55" borderId="26" applyNumberFormat="0" applyAlignment="0" applyProtection="0"/>
    <xf numFmtId="197" fontId="41" fillId="2" borderId="0" applyNumberFormat="0" applyBorder="0" applyAlignment="0" applyProtection="0"/>
    <xf numFmtId="197" fontId="41" fillId="2" borderId="0" applyNumberFormat="0" applyBorder="0" applyAlignment="0" applyProtection="0"/>
    <xf numFmtId="0" fontId="79" fillId="0" borderId="21"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137" fillId="0" borderId="31" applyNumberFormat="0" applyFill="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38" fillId="71" borderId="0" applyNumberFormat="0" applyBorder="0" applyAlignment="0" applyProtection="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2" fillId="0" borderId="0"/>
    <xf numFmtId="197" fontId="9"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9"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9" fillId="0" borderId="0"/>
    <xf numFmtId="0" fontId="9" fillId="0" borderId="0"/>
    <xf numFmtId="0" fontId="52" fillId="0" borderId="0">
      <alignment vertical="top"/>
    </xf>
    <xf numFmtId="0" fontId="9" fillId="0" borderId="0"/>
    <xf numFmtId="0" fontId="9" fillId="0" borderId="0"/>
    <xf numFmtId="197" fontId="9" fillId="0" borderId="0"/>
    <xf numFmtId="0" fontId="5"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197" fontId="88" fillId="0" borderId="0"/>
    <xf numFmtId="197" fontId="88" fillId="0" borderId="0"/>
    <xf numFmtId="197" fontId="88" fillId="0" borderId="0"/>
    <xf numFmtId="197" fontId="88" fillId="0" borderId="0"/>
    <xf numFmtId="0"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0" fontId="5" fillId="0" borderId="0"/>
    <xf numFmtId="0" fontId="5" fillId="0" borderId="0"/>
    <xf numFmtId="0" fontId="5" fillId="0" borderId="0"/>
    <xf numFmtId="0" fontId="5" fillId="0" borderId="0"/>
    <xf numFmtId="195" fontId="9" fillId="0" borderId="0"/>
    <xf numFmtId="0" fontId="52" fillId="0" borderId="0">
      <alignment vertical="top"/>
    </xf>
    <xf numFmtId="0" fontId="52" fillId="0" borderId="0">
      <alignment vertical="top"/>
    </xf>
    <xf numFmtId="0" fontId="88" fillId="0" borderId="0"/>
    <xf numFmtId="0" fontId="5" fillId="0" borderId="0"/>
    <xf numFmtId="0" fontId="88" fillId="0" borderId="0"/>
    <xf numFmtId="0" fontId="88" fillId="0" borderId="0"/>
    <xf numFmtId="0" fontId="88" fillId="0" borderId="0"/>
    <xf numFmtId="197" fontId="88" fillId="0" borderId="0"/>
    <xf numFmtId="197" fontId="88" fillId="0" borderId="0"/>
    <xf numFmtId="0" fontId="52" fillId="0" borderId="0">
      <alignment vertical="top"/>
    </xf>
    <xf numFmtId="197" fontId="88" fillId="0" borderId="0"/>
    <xf numFmtId="197" fontId="88" fillId="0" borderId="0"/>
    <xf numFmtId="0" fontId="9" fillId="0" borderId="0"/>
    <xf numFmtId="0" fontId="5" fillId="0" borderId="0"/>
    <xf numFmtId="0" fontId="88"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88" fillId="0" borderId="0"/>
    <xf numFmtId="0" fontId="88" fillId="0" borderId="0"/>
    <xf numFmtId="0" fontId="8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63" fillId="20" borderId="23" applyNumberFormat="0" applyFont="0" applyAlignment="0" applyProtection="0"/>
    <xf numFmtId="0" fontId="9" fillId="72" borderId="32" applyNumberFormat="0" applyFont="0" applyAlignment="0" applyProtection="0"/>
    <xf numFmtId="0" fontId="5" fillId="20" borderId="23" applyNumberFormat="0" applyFont="0" applyAlignment="0" applyProtection="0"/>
    <xf numFmtId="0" fontId="77" fillId="18" borderId="20" applyNumberFormat="0" applyAlignment="0" applyProtection="0"/>
    <xf numFmtId="0" fontId="77" fillId="18" borderId="20" applyNumberFormat="0" applyAlignment="0" applyProtection="0"/>
    <xf numFmtId="0" fontId="77" fillId="18" borderId="20" applyNumberFormat="0" applyAlignment="0" applyProtection="0"/>
    <xf numFmtId="0" fontId="77" fillId="69" borderId="20" applyNumberFormat="0" applyAlignment="0" applyProtection="0"/>
    <xf numFmtId="0" fontId="140" fillId="69" borderId="33" applyNumberFormat="0" applyAlignment="0" applyProtection="0"/>
    <xf numFmtId="197" fontId="9" fillId="3" borderId="0" applyNumberFormat="0" applyBorder="0" applyAlignment="0" applyProtection="0"/>
    <xf numFmtId="197" fontId="9" fillId="3" borderId="0" applyNumberFormat="0" applyBorder="0" applyAlignment="0" applyProtection="0"/>
    <xf numFmtId="215" fontId="119" fillId="0" borderId="0" applyFont="0" applyFill="0" applyBorder="0" applyAlignment="0" applyProtection="0"/>
    <xf numFmtId="216" fontId="118" fillId="0" borderId="0" applyFont="0" applyFill="0" applyBorder="0" applyAlignment="0" applyProtection="0"/>
    <xf numFmtId="217" fontId="119" fillId="0" borderId="0" applyFont="0" applyFill="0" applyBorder="0" applyAlignment="0" applyProtection="0"/>
    <xf numFmtId="218" fontId="118" fillId="0" borderId="0" applyFont="0" applyFill="0" applyBorder="0" applyAlignment="0" applyProtection="0"/>
    <xf numFmtId="219" fontId="119" fillId="0" borderId="0" applyFont="0" applyFill="0" applyBorder="0" applyAlignment="0" applyProtection="0"/>
    <xf numFmtId="220" fontId="118" fillId="0" borderId="0" applyFont="0" applyFill="0" applyBorder="0" applyAlignment="0" applyProtection="0"/>
    <xf numFmtId="221" fontId="119"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7" fontId="110" fillId="68" borderId="0" applyNumberFormat="0" applyBorder="0" applyAlignment="0" applyProtection="0"/>
    <xf numFmtId="0" fontId="141" fillId="0" borderId="0">
      <alignment horizontal="right"/>
    </xf>
    <xf numFmtId="0" fontId="142" fillId="0" borderId="0">
      <alignment horizontal="right"/>
    </xf>
    <xf numFmtId="0" fontId="127" fillId="0" borderId="0"/>
    <xf numFmtId="0" fontId="143" fillId="0" borderId="0" applyNumberFormat="0" applyBorder="0" applyAlignment="0"/>
    <xf numFmtId="0" fontId="143" fillId="0" borderId="0" applyNumberFormat="0" applyBorder="0" applyAlignment="0"/>
    <xf numFmtId="0" fontId="52" fillId="0" borderId="0" applyNumberFormat="0" applyBorder="0" applyAlignment="0"/>
    <xf numFmtId="197" fontId="52" fillId="0" borderId="0" applyNumberFormat="0" applyBorder="0" applyAlignment="0"/>
    <xf numFmtId="0" fontId="127" fillId="0" borderId="0"/>
    <xf numFmtId="197" fontId="52" fillId="0" borderId="0" applyNumberFormat="0" applyBorder="0" applyAlignment="0"/>
    <xf numFmtId="0" fontId="144" fillId="0" borderId="0"/>
    <xf numFmtId="0" fontId="145" fillId="0" borderId="0" applyNumberFormat="0" applyBorder="0" applyAlignment="0"/>
    <xf numFmtId="0" fontId="145" fillId="0" borderId="0" applyNumberFormat="0" applyBorder="0" applyAlignment="0"/>
    <xf numFmtId="0" fontId="144" fillId="0" borderId="0"/>
    <xf numFmtId="0" fontId="146" fillId="0" borderId="0"/>
    <xf numFmtId="197" fontId="147" fillId="0" borderId="0"/>
    <xf numFmtId="0" fontId="148" fillId="0" borderId="0"/>
    <xf numFmtId="0" fontId="149" fillId="0" borderId="0" applyNumberFormat="0" applyBorder="0" applyAlignment="0"/>
    <xf numFmtId="0" fontId="149" fillId="0" borderId="0" applyNumberFormat="0" applyBorder="0" applyAlignment="0"/>
    <xf numFmtId="0" fontId="148" fillId="0" borderId="0"/>
    <xf numFmtId="0" fontId="150" fillId="0" borderId="0" applyNumberFormat="0" applyBorder="0" applyAlignment="0"/>
    <xf numFmtId="0" fontId="151" fillId="0" borderId="0"/>
    <xf numFmtId="197" fontId="152" fillId="0" borderId="0"/>
    <xf numFmtId="0" fontId="153" fillId="0" borderId="0"/>
    <xf numFmtId="0" fontId="149" fillId="73" borderId="0" applyNumberFormat="0" applyBorder="0" applyAlignment="0"/>
    <xf numFmtId="0" fontId="154" fillId="0" borderId="0"/>
    <xf numFmtId="0" fontId="155" fillId="0" borderId="0"/>
    <xf numFmtId="0" fontId="156" fillId="0" borderId="0"/>
    <xf numFmtId="0" fontId="155" fillId="74" borderId="0"/>
    <xf numFmtId="0" fontId="69" fillId="0" borderId="0" applyNumberFormat="0" applyFill="0" applyBorder="0" applyAlignment="0" applyProtection="0"/>
    <xf numFmtId="0" fontId="157" fillId="75" borderId="34" applyNumberFormat="0">
      <alignment horizontal="left"/>
    </xf>
    <xf numFmtId="0" fontId="69" fillId="0" borderId="0" applyNumberFormat="0" applyFill="0" applyBorder="0" applyAlignment="0" applyProtection="0"/>
    <xf numFmtId="0" fontId="6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7" fillId="75" borderId="35">
      <alignment horizontal="left"/>
    </xf>
    <xf numFmtId="0" fontId="83" fillId="0" borderId="24" applyNumberFormat="0" applyFill="0" applyAlignment="0" applyProtection="0"/>
    <xf numFmtId="0" fontId="83" fillId="0" borderId="24" applyNumberFormat="0" applyFill="0" applyAlignment="0" applyProtection="0"/>
    <xf numFmtId="0" fontId="83" fillId="0" borderId="24" applyNumberFormat="0" applyFill="0" applyAlignment="0" applyProtection="0"/>
    <xf numFmtId="0" fontId="83" fillId="0" borderId="36" applyNumberFormat="0" applyFill="0" applyAlignment="0" applyProtection="0"/>
    <xf numFmtId="0" fontId="160" fillId="0" borderId="36"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1" fillId="0" borderId="0" applyNumberFormat="0" applyFill="0" applyBorder="0" applyAlignment="0" applyProtection="0"/>
    <xf numFmtId="197" fontId="23" fillId="76" borderId="0" applyNumberFormat="0" applyBorder="0" applyAlignment="0" applyProtection="0"/>
    <xf numFmtId="225" fontId="118" fillId="0" borderId="0" applyFont="0" applyFill="0" applyBorder="0" applyAlignment="0" applyProtection="0"/>
    <xf numFmtId="226" fontId="118" fillId="0" borderId="0" applyFont="0" applyFill="0" applyBorder="0" applyAlignment="0" applyProtection="0"/>
    <xf numFmtId="227" fontId="118" fillId="0" borderId="0" applyFont="0" applyFill="0" applyBorder="0" applyAlignment="0" applyProtection="0"/>
    <xf numFmtId="228" fontId="118" fillId="0" borderId="0" applyFont="0" applyFill="0" applyBorder="0" applyAlignment="0" applyProtection="0"/>
    <xf numFmtId="229" fontId="118" fillId="0" borderId="0" applyFont="0" applyFill="0" applyBorder="0" applyAlignment="0" applyProtection="0"/>
    <xf numFmtId="230" fontId="118" fillId="0" borderId="0" applyFont="0" applyFill="0" applyBorder="0" applyAlignment="0" applyProtection="0"/>
    <xf numFmtId="231" fontId="118" fillId="0" borderId="0" applyFont="0" applyFill="0" applyBorder="0" applyAlignment="0" applyProtection="0"/>
    <xf numFmtId="232" fontId="118" fillId="0" borderId="0" applyFont="0" applyFill="0" applyBorder="0" applyAlignment="0" applyProtection="0"/>
    <xf numFmtId="233" fontId="33" fillId="0" borderId="0" applyFont="0" applyFill="0" applyBorder="0" applyAlignment="0" applyProtection="0">
      <alignment horizontal="right"/>
    </xf>
    <xf numFmtId="3" fontId="88" fillId="0" borderId="0"/>
    <xf numFmtId="0" fontId="96" fillId="0" borderId="18" applyNumberFormat="0" applyFill="0" applyAlignment="0" applyProtection="0"/>
    <xf numFmtId="3" fontId="88" fillId="0" borderId="0"/>
    <xf numFmtId="3" fontId="88" fillId="0" borderId="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6" fillId="0" borderId="18" applyNumberFormat="0" applyFill="0" applyAlignment="0" applyProtection="0"/>
    <xf numFmtId="0" fontId="88"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40" fillId="69" borderId="33" applyNumberFormat="0" applyAlignment="0" applyProtection="0"/>
    <xf numFmtId="0" fontId="113" fillId="69" borderId="26" applyNumberFormat="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0" fontId="113" fillId="69" borderId="26" applyNumberFormat="0" applyAlignment="0" applyProtection="0"/>
    <xf numFmtId="43" fontId="88" fillId="0" borderId="0" applyFont="0" applyFill="0" applyBorder="0" applyAlignment="0" applyProtection="0"/>
    <xf numFmtId="0" fontId="9" fillId="72" borderId="32" applyNumberFormat="0" applyFont="0" applyAlignment="0" applyProtection="0"/>
    <xf numFmtId="9" fontId="88" fillId="0" borderId="0" applyFont="0" applyFill="0" applyBorder="0" applyAlignment="0" applyProtection="0"/>
    <xf numFmtId="0" fontId="160" fillId="0" borderId="36" applyNumberFormat="0" applyFill="0" applyAlignment="0" applyProtection="0"/>
    <xf numFmtId="43"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0" fontId="160" fillId="0" borderId="36"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0" fontId="113" fillId="69" borderId="26" applyNumberFormat="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6" applyNumberFormat="0" applyAlignment="0" applyProtection="0"/>
    <xf numFmtId="0" fontId="136" fillId="55" borderId="26" applyNumberFormat="0" applyAlignment="0" applyProtection="0"/>
    <xf numFmtId="0" fontId="136" fillId="55" borderId="26" applyNumberFormat="0" applyAlignment="0" applyProtection="0"/>
    <xf numFmtId="0" fontId="9" fillId="72" borderId="32" applyNumberFormat="0" applyFont="0" applyAlignment="0" applyProtection="0"/>
    <xf numFmtId="0" fontId="83" fillId="0" borderId="36" applyNumberFormat="0" applyFill="0" applyAlignment="0" applyProtection="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44" fontId="88" fillId="0" borderId="0" applyFont="0" applyFill="0" applyBorder="0" applyAlignment="0" applyProtection="0"/>
    <xf numFmtId="0" fontId="83"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0" fontId="160" fillId="0" borderId="36" applyNumberFormat="0" applyFill="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0" fontId="113" fillId="69" borderId="26" applyNumberFormat="0" applyAlignment="0" applyProtection="0"/>
    <xf numFmtId="9" fontId="88" fillId="0" borderId="0" applyFont="0" applyFill="0" applyBorder="0" applyAlignment="0" applyProtection="0"/>
    <xf numFmtId="0" fontId="140" fillId="69" borderId="33" applyNumberFormat="0" applyAlignment="0" applyProtection="0"/>
    <xf numFmtId="0" fontId="83"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0" fontId="83" fillId="0" borderId="36" applyNumberFormat="0" applyFill="0" applyAlignment="0" applyProtection="0"/>
    <xf numFmtId="0" fontId="160" fillId="0" borderId="36"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6"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6"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2" borderId="32" applyNumberFormat="0" applyFont="0" applyAlignment="0" applyProtection="0"/>
    <xf numFmtId="0" fontId="140" fillId="69" borderId="3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0" fillId="0" borderId="3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3" fillId="69" borderId="26" applyNumberFormat="0" applyAlignment="0" applyProtection="0"/>
    <xf numFmtId="0" fontId="160" fillId="0" borderId="36" applyNumberFormat="0" applyFill="0" applyAlignment="0" applyProtection="0"/>
    <xf numFmtId="0" fontId="160" fillId="0" borderId="36" applyNumberFormat="0" applyFill="0" applyAlignment="0" applyProtection="0"/>
    <xf numFmtId="0" fontId="113" fillId="69"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2" applyNumberFormat="0" applyFont="0" applyAlignment="0" applyProtection="0"/>
    <xf numFmtId="0" fontId="113" fillId="69"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0" fillId="0" borderId="36"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2" borderId="32"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6" applyNumberFormat="0" applyFill="0" applyAlignment="0" applyProtection="0"/>
    <xf numFmtId="0" fontId="140" fillId="69" borderId="33" applyNumberFormat="0" applyAlignment="0" applyProtection="0"/>
    <xf numFmtId="0" fontId="140" fillId="69" borderId="33" applyNumberFormat="0" applyAlignment="0" applyProtection="0"/>
    <xf numFmtId="0" fontId="160" fillId="0" borderId="36" applyNumberFormat="0" applyFill="0" applyAlignment="0" applyProtection="0"/>
    <xf numFmtId="0" fontId="83" fillId="0" borderId="36" applyNumberFormat="0" applyFill="0" applyAlignment="0" applyProtection="0"/>
    <xf numFmtId="0" fontId="140" fillId="69" borderId="33" applyNumberFormat="0" applyAlignment="0" applyProtection="0"/>
    <xf numFmtId="0" fontId="136" fillId="55" borderId="26" applyNumberFormat="0" applyAlignment="0" applyProtection="0"/>
    <xf numFmtId="0" fontId="136" fillId="55" borderId="26" applyNumberFormat="0" applyAlignment="0" applyProtection="0"/>
    <xf numFmtId="0" fontId="113" fillId="69" borderId="26" applyNumberFormat="0" applyAlignment="0" applyProtection="0"/>
    <xf numFmtId="0" fontId="140" fillId="69" borderId="33" applyNumberFormat="0" applyAlignment="0" applyProtection="0"/>
    <xf numFmtId="0" fontId="136" fillId="55" borderId="26" applyNumberFormat="0" applyAlignment="0" applyProtection="0"/>
    <xf numFmtId="0" fontId="113" fillId="69" borderId="26" applyNumberFormat="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39" fontId="162"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0" fontId="163" fillId="0" borderId="0"/>
    <xf numFmtId="44" fontId="163" fillId="0" borderId="0" applyFont="0" applyFill="0" applyBorder="0" applyAlignment="0" applyProtection="0"/>
    <xf numFmtId="43" fontId="163"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4"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88" fillId="0" borderId="0"/>
    <xf numFmtId="0" fontId="5" fillId="0" borderId="0"/>
    <xf numFmtId="10" fontId="1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0"/>
    <xf numFmtId="0" fontId="58"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0" fontId="88" fillId="0" borderId="0"/>
    <xf numFmtId="9" fontId="88"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3" fillId="0" borderId="0" applyFont="0" applyFill="0" applyBorder="0" applyAlignment="0" applyProtection="0"/>
    <xf numFmtId="9" fontId="163" fillId="0" borderId="0" applyFont="0" applyFill="0" applyBorder="0" applyAlignment="0" applyProtection="0"/>
    <xf numFmtId="43" fontId="5" fillId="0" borderId="0" applyFont="0" applyFill="0" applyBorder="0" applyAlignment="0" applyProtection="0"/>
    <xf numFmtId="0" fontId="5" fillId="0" borderId="0"/>
    <xf numFmtId="0" fontId="88" fillId="0" borderId="0"/>
    <xf numFmtId="0" fontId="96" fillId="0" borderId="18"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0" fontId="5" fillId="20"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20" borderId="23" applyNumberFormat="0" applyFont="0" applyAlignment="0" applyProtection="0"/>
    <xf numFmtId="0" fontId="5" fillId="38" borderId="0" applyNumberFormat="0" applyBorder="0" applyAlignment="0" applyProtection="0"/>
    <xf numFmtId="0" fontId="5" fillId="0" borderId="0"/>
    <xf numFmtId="0" fontId="5" fillId="22" borderId="0" applyNumberFormat="0" applyBorder="0" applyAlignment="0" applyProtection="0"/>
    <xf numFmtId="0" fontId="5" fillId="31"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0" borderId="23" applyNumberFormat="0" applyFont="0" applyAlignment="0" applyProtection="0"/>
    <xf numFmtId="0" fontId="5" fillId="35" borderId="0" applyNumberFormat="0" applyBorder="0" applyAlignment="0" applyProtection="0"/>
    <xf numFmtId="43" fontId="5" fillId="0" borderId="0" applyFont="0" applyFill="0" applyBorder="0" applyAlignment="0" applyProtection="0"/>
    <xf numFmtId="0" fontId="5" fillId="43"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1"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20" borderId="23" applyNumberFormat="0" applyFont="0" applyAlignment="0" applyProtection="0"/>
    <xf numFmtId="43" fontId="5" fillId="0" borderId="0" applyFont="0" applyFill="0" applyBorder="0" applyAlignment="0" applyProtection="0"/>
    <xf numFmtId="0" fontId="5" fillId="20" borderId="23" applyNumberFormat="0" applyFont="0" applyAlignment="0" applyProtection="0"/>
    <xf numFmtId="0" fontId="5" fillId="30"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4"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0" borderId="0"/>
    <xf numFmtId="0" fontId="5" fillId="42"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0" borderId="23" applyNumberFormat="0" applyFont="0" applyAlignment="0" applyProtection="0"/>
    <xf numFmtId="43" fontId="5" fillId="0" borderId="0" applyFont="0" applyFill="0" applyBorder="0" applyAlignment="0" applyProtection="0"/>
    <xf numFmtId="0" fontId="5" fillId="3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0" borderId="23" applyNumberFormat="0" applyFont="0" applyAlignment="0" applyProtection="0"/>
    <xf numFmtId="0" fontId="5" fillId="31"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4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xf numFmtId="0" fontId="5" fillId="20" borderId="23" applyNumberFormat="0" applyFont="0" applyAlignment="0" applyProtection="0"/>
    <xf numFmtId="0" fontId="5" fillId="0" borderId="0"/>
    <xf numFmtId="0" fontId="5" fillId="42"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0" borderId="23"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23" borderId="0" applyNumberFormat="0" applyBorder="0" applyAlignment="0" applyProtection="0"/>
    <xf numFmtId="0" fontId="5" fillId="0" borderId="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0" borderId="0"/>
    <xf numFmtId="0" fontId="5" fillId="27"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0" borderId="0"/>
    <xf numFmtId="0" fontId="5" fillId="39"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20" borderId="23" applyNumberFormat="0" applyFont="0" applyAlignment="0" applyProtection="0"/>
    <xf numFmtId="0" fontId="5" fillId="38" borderId="0" applyNumberFormat="0" applyBorder="0" applyAlignment="0" applyProtection="0"/>
    <xf numFmtId="0" fontId="5" fillId="27"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3"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0" fontId="2" fillId="20" borderId="2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20" borderId="23" applyNumberFormat="0" applyFont="0" applyAlignment="0" applyProtection="0"/>
    <xf numFmtId="0" fontId="2" fillId="38" borderId="0" applyNumberFormat="0" applyBorder="0" applyAlignment="0" applyProtection="0"/>
    <xf numFmtId="0" fontId="2" fillId="0" borderId="0"/>
    <xf numFmtId="0" fontId="2" fillId="22"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0" borderId="23" applyNumberFormat="0" applyFont="0" applyAlignment="0" applyProtection="0"/>
    <xf numFmtId="0" fontId="2" fillId="35" borderId="0" applyNumberFormat="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1"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3" borderId="0" applyNumberFormat="0" applyBorder="0" applyAlignment="0" applyProtection="0"/>
    <xf numFmtId="0" fontId="2" fillId="20" borderId="23" applyNumberFormat="0" applyFont="0" applyAlignment="0" applyProtection="0"/>
    <xf numFmtId="43" fontId="2" fillId="0" borderId="0" applyFont="0" applyFill="0" applyBorder="0" applyAlignment="0" applyProtection="0"/>
    <xf numFmtId="0" fontId="2" fillId="20" borderId="23" applyNumberFormat="0" applyFont="0" applyAlignment="0" applyProtection="0"/>
    <xf numFmtId="0" fontId="2" fillId="30"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35"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0" borderId="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2"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0" borderId="0" applyNumberFormat="0" applyBorder="0" applyAlignment="0" applyProtection="0"/>
    <xf numFmtId="0" fontId="2" fillId="0" borderId="0"/>
    <xf numFmtId="0" fontId="2" fillId="42"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0" borderId="23" applyNumberFormat="0" applyFont="0" applyAlignment="0" applyProtection="0"/>
    <xf numFmtId="43" fontId="2" fillId="0" borderId="0" applyFont="0" applyFill="0" applyBorder="0" applyAlignment="0" applyProtection="0"/>
    <xf numFmtId="0" fontId="2" fillId="3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0" borderId="23" applyNumberFormat="0" applyFont="0" applyAlignment="0" applyProtection="0"/>
    <xf numFmtId="0" fontId="2" fillId="31"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38"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4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0" fontId="2" fillId="20" borderId="23" applyNumberFormat="0" applyFont="0" applyAlignment="0" applyProtection="0"/>
    <xf numFmtId="0" fontId="2" fillId="0" borderId="0"/>
    <xf numFmtId="0" fontId="2" fillId="4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0" borderId="0"/>
    <xf numFmtId="0" fontId="2"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34"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0" borderId="0"/>
    <xf numFmtId="0" fontId="2" fillId="39"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20" borderId="23" applyNumberFormat="0" applyFont="0" applyAlignment="0" applyProtection="0"/>
    <xf numFmtId="0" fontId="2" fillId="38"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3"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cellStyleXfs>
  <cellXfs count="888">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0" fontId="0" fillId="0" borderId="0" xfId="0" applyFill="1"/>
    <xf numFmtId="0" fontId="17" fillId="0" borderId="0" xfId="0" applyFont="1"/>
    <xf numFmtId="164" fontId="17" fillId="0" borderId="0" xfId="1" applyNumberFormat="1" applyFont="1" applyFill="1"/>
    <xf numFmtId="0" fontId="17" fillId="0" borderId="0" xfId="0" applyFont="1" applyFill="1"/>
    <xf numFmtId="0" fontId="17" fillId="0" borderId="0" xfId="0" applyFont="1" applyFill="1" applyAlignment="1">
      <alignment horizontal="left"/>
    </xf>
    <xf numFmtId="0" fontId="18" fillId="0" borderId="0" xfId="0" applyFont="1" applyFill="1" applyAlignment="1">
      <alignment horizontal="centerContinuous"/>
    </xf>
    <xf numFmtId="0" fontId="17" fillId="0" borderId="0" xfId="0" applyFont="1" applyFill="1" applyAlignment="1">
      <alignment horizontal="center"/>
    </xf>
    <xf numFmtId="0" fontId="19" fillId="0" borderId="0" xfId="0" applyFont="1" applyFill="1"/>
    <xf numFmtId="0" fontId="19" fillId="0" borderId="0" xfId="0" applyFont="1" applyFill="1" applyAlignment="1">
      <alignment horizontal="center"/>
    </xf>
    <xf numFmtId="164" fontId="21" fillId="0" borderId="0" xfId="1" applyNumberFormat="1" applyFont="1" applyFill="1"/>
    <xf numFmtId="164" fontId="17" fillId="0" borderId="0" xfId="0" applyNumberFormat="1" applyFont="1" applyFill="1"/>
    <xf numFmtId="10" fontId="17" fillId="0" borderId="0" xfId="0" applyNumberFormat="1" applyFont="1" applyFill="1"/>
    <xf numFmtId="164" fontId="20" fillId="0" borderId="0" xfId="1" applyNumberFormat="1" applyFont="1" applyFill="1"/>
    <xf numFmtId="43" fontId="17" fillId="0" borderId="0" xfId="1" applyFont="1" applyFill="1"/>
    <xf numFmtId="0" fontId="17" fillId="0" borderId="0" xfId="0" applyFont="1" applyFill="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0" fillId="0" borderId="0" xfId="0" applyNumberFormat="1" applyBorder="1"/>
    <xf numFmtId="164" fontId="9" fillId="0" borderId="0" xfId="1" applyNumberFormat="1" applyBorder="1"/>
    <xf numFmtId="164" fontId="9" fillId="0" borderId="0" xfId="1" applyNumberFormat="1" applyFont="1"/>
    <xf numFmtId="169" fontId="9" fillId="0" borderId="0" xfId="2" applyNumberFormat="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3" fontId="0" fillId="0" borderId="0" xfId="0" applyNumberFormat="1"/>
    <xf numFmtId="3" fontId="0" fillId="0" borderId="0" xfId="0" applyNumberFormat="1" applyBorder="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68" fontId="0" fillId="0" borderId="0" xfId="0" applyNumberFormat="1" applyFill="1"/>
    <xf numFmtId="174" fontId="9" fillId="0" borderId="0" xfId="0" applyNumberFormat="1" applyFont="1"/>
    <xf numFmtId="10" fontId="30" fillId="0" borderId="0" xfId="0" applyNumberFormat="1" applyFont="1"/>
    <xf numFmtId="10" fontId="0" fillId="0" borderId="0" xfId="0" applyNumberFormat="1"/>
    <xf numFmtId="0" fontId="0" fillId="0" borderId="0" xfId="0" applyFill="1" applyAlignment="1">
      <alignment horizontal="right"/>
    </xf>
    <xf numFmtId="0" fontId="16" fillId="0" borderId="0" xfId="0" applyFont="1" applyFill="1" applyBorder="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5" fontId="10" fillId="0" borderId="0" xfId="0" applyNumberFormat="1" applyFont="1" applyBorder="1"/>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6" fillId="0" borderId="0" xfId="1" applyNumberFormat="1" applyFont="1" applyFill="1"/>
    <xf numFmtId="0" fontId="36" fillId="0" borderId="0" xfId="0" applyFont="1" applyFill="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0" xfId="0" applyNumberFormat="1" applyFont="1" applyBorder="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37" fontId="10" fillId="0" borderId="0" xfId="0" applyNumberFormat="1" applyFont="1" applyFill="1"/>
    <xf numFmtId="5" fontId="10" fillId="0" borderId="0" xfId="0" applyNumberFormat="1" applyFont="1" applyFill="1"/>
    <xf numFmtId="0" fontId="12" fillId="0" borderId="0" xfId="0" applyFont="1" applyAlignme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32" fillId="0" borderId="0" xfId="0" applyFont="1" applyAlignment="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0" fontId="34" fillId="0" borderId="0" xfId="0" applyNumberFormat="1" applyFont="1" applyFill="1"/>
    <xf numFmtId="174" fontId="34" fillId="0" borderId="0" xfId="0" applyNumberFormat="1" applyFont="1" applyFill="1"/>
    <xf numFmtId="175" fontId="0" fillId="0" borderId="2" xfId="0" applyNumberFormat="1" applyFill="1" applyBorder="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0" fontId="0" fillId="0" borderId="4" xfId="0" applyBorder="1" applyAlignment="1"/>
    <xf numFmtId="176" fontId="0" fillId="0" borderId="5" xfId="0" applyNumberFormat="1" applyBorder="1"/>
    <xf numFmtId="0" fontId="0" fillId="0" borderId="0" xfId="0" applyAlignment="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0" fontId="0" fillId="0" borderId="0" xfId="0" applyBorder="1"/>
    <xf numFmtId="170" fontId="42" fillId="0" borderId="0" xfId="0" applyNumberFormat="1" applyFont="1" applyBorder="1"/>
    <xf numFmtId="0" fontId="0" fillId="0" borderId="8" xfId="0" applyBorder="1"/>
    <xf numFmtId="0" fontId="0" fillId="0" borderId="9" xfId="0" applyBorder="1"/>
    <xf numFmtId="0" fontId="0" fillId="0" borderId="6" xfId="0" applyFill="1"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Fill="1" applyBorder="1"/>
    <xf numFmtId="0" fontId="0" fillId="0" borderId="2" xfId="0" applyBorder="1" applyAlignment="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0" fontId="23" fillId="0" borderId="0" xfId="0" applyFont="1" applyAlignment="1"/>
    <xf numFmtId="170" fontId="42" fillId="6" borderId="0" xfId="0" applyNumberFormat="1" applyFont="1" applyFill="1" applyBorder="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applyBorder="1"/>
    <xf numFmtId="179" fontId="42" fillId="6" borderId="1" xfId="0" applyNumberFormat="1" applyFont="1" applyFill="1" applyBorder="1"/>
    <xf numFmtId="0" fontId="10" fillId="0" borderId="10" xfId="0" applyFont="1" applyBorder="1"/>
    <xf numFmtId="165" fontId="10" fillId="0" borderId="0" xfId="0" applyNumberFormat="1" applyFont="1" applyFill="1"/>
    <xf numFmtId="5" fontId="10" fillId="0" borderId="2" xfId="0" applyNumberFormat="1" applyFont="1" applyBorder="1"/>
    <xf numFmtId="5" fontId="12" fillId="0" borderId="2" xfId="0" applyNumberFormat="1" applyFont="1" applyBorder="1"/>
    <xf numFmtId="5" fontId="10" fillId="0" borderId="2" xfId="0" applyNumberFormat="1" applyFont="1" applyFill="1" applyBorder="1"/>
    <xf numFmtId="37" fontId="10" fillId="0" borderId="0" xfId="1" applyNumberFormat="1" applyFont="1" applyAlignment="1"/>
    <xf numFmtId="0" fontId="10" fillId="0" borderId="2" xfId="0" applyFont="1" applyBorder="1"/>
    <xf numFmtId="0" fontId="23" fillId="0" borderId="0" xfId="0" applyFont="1" applyBorder="1" applyAlignment="1">
      <alignment horizontal="center"/>
    </xf>
    <xf numFmtId="10" fontId="23" fillId="0" borderId="0" xfId="0" applyNumberFormat="1" applyFont="1" applyAlignment="1">
      <alignment horizontal="center"/>
    </xf>
    <xf numFmtId="10" fontId="23" fillId="0" borderId="0" xfId="0" applyNumberFormat="1" applyFont="1" applyBorder="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applyBorder="1"/>
    <xf numFmtId="0" fontId="23" fillId="0" borderId="0" xfId="0" applyFont="1" applyBorder="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Fill="1" applyAlignment="1">
      <alignment horizontal="right"/>
    </xf>
    <xf numFmtId="5" fontId="0" fillId="0" borderId="0" xfId="0" applyNumberFormat="1"/>
    <xf numFmtId="174" fontId="9" fillId="0" borderId="0" xfId="0" applyNumberFormat="1" applyFont="1" applyFill="1"/>
    <xf numFmtId="0" fontId="17" fillId="0" borderId="0" xfId="0" applyFont="1" applyFill="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164" fontId="17" fillId="0" borderId="12" xfId="0" applyNumberFormat="1" applyFont="1" applyFill="1" applyBorder="1"/>
    <xf numFmtId="164" fontId="17" fillId="0" borderId="11" xfId="0" applyNumberFormat="1" applyFont="1" applyFill="1" applyBorder="1"/>
    <xf numFmtId="37" fontId="17" fillId="0" borderId="0" xfId="0" applyNumberFormat="1" applyFont="1"/>
    <xf numFmtId="164" fontId="17" fillId="0" borderId="0" xfId="0" applyNumberFormat="1" applyFont="1"/>
    <xf numFmtId="164" fontId="17" fillId="0" borderId="2" xfId="0" applyNumberFormat="1" applyFont="1" applyFill="1" applyBorder="1"/>
    <xf numFmtId="0" fontId="10" fillId="0" borderId="0" xfId="0" applyFont="1" applyFill="1" applyAlignment="1">
      <alignment horizontal="left" indent="1"/>
    </xf>
    <xf numFmtId="164" fontId="17" fillId="0" borderId="0" xfId="0" applyNumberFormat="1" applyFont="1" applyFill="1" applyBorder="1"/>
    <xf numFmtId="37" fontId="17" fillId="0" borderId="12" xfId="0" applyNumberFormat="1" applyFont="1" applyBorder="1"/>
    <xf numFmtId="37" fontId="12" fillId="0" borderId="1" xfId="0" applyNumberFormat="1" applyFont="1" applyBorder="1"/>
    <xf numFmtId="37" fontId="12" fillId="0" borderId="1" xfId="0" applyNumberFormat="1" applyFont="1" applyFill="1" applyBorder="1"/>
    <xf numFmtId="37" fontId="10" fillId="0" borderId="1" xfId="0" applyNumberFormat="1" applyFont="1" applyFill="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169" fontId="0" fillId="0" borderId="0" xfId="0" applyNumberFormat="1" applyFill="1"/>
    <xf numFmtId="0" fontId="0" fillId="0" borderId="0" xfId="0" applyFill="1" applyBorder="1"/>
    <xf numFmtId="0" fontId="0" fillId="0" borderId="0" xfId="0" applyFill="1" applyBorder="1" applyAlignment="1">
      <alignment horizontal="right"/>
    </xf>
    <xf numFmtId="174" fontId="0" fillId="0" borderId="0" xfId="0" applyNumberFormat="1"/>
    <xf numFmtId="3" fontId="9" fillId="0" borderId="0" xfId="0" applyNumberFormat="1" applyFont="1" applyBorder="1"/>
    <xf numFmtId="0" fontId="32" fillId="0" borderId="0" xfId="0" applyFont="1" applyAlignment="1">
      <alignment horizontal="right"/>
    </xf>
    <xf numFmtId="165" fontId="42" fillId="0" borderId="0" xfId="0" applyNumberFormat="1" applyFont="1" applyFill="1"/>
    <xf numFmtId="165" fontId="9" fillId="0" borderId="0" xfId="0" applyNumberFormat="1" applyFont="1" applyFill="1"/>
    <xf numFmtId="0" fontId="49" fillId="0" borderId="0" xfId="0" applyFont="1"/>
    <xf numFmtId="5" fontId="0" fillId="3" borderId="0" xfId="0" applyNumberFormat="1" applyFill="1"/>
    <xf numFmtId="5" fontId="0" fillId="0" borderId="0" xfId="0" applyNumberFormat="1" applyFill="1"/>
    <xf numFmtId="5" fontId="42" fillId="0" borderId="0" xfId="0" applyNumberFormat="1" applyFont="1" applyFill="1"/>
    <xf numFmtId="0" fontId="50" fillId="0" borderId="0" xfId="0" applyFont="1" applyAlignment="1"/>
    <xf numFmtId="0" fontId="23" fillId="0" borderId="0" xfId="0" applyFont="1" applyFill="1" applyBorder="1" applyAlignment="1">
      <alignment horizontal="center"/>
    </xf>
    <xf numFmtId="172" fontId="9" fillId="0" borderId="0" xfId="0" applyNumberFormat="1" applyFont="1"/>
    <xf numFmtId="5" fontId="9" fillId="0" borderId="0" xfId="0" applyNumberFormat="1" applyFont="1" applyFill="1"/>
    <xf numFmtId="5" fontId="9" fillId="5" borderId="0" xfId="0" applyNumberFormat="1" applyFont="1" applyFill="1"/>
    <xf numFmtId="5" fontId="42" fillId="0" borderId="0" xfId="0" applyNumberFormat="1" applyFont="1" applyFill="1" applyBorder="1"/>
    <xf numFmtId="0" fontId="51" fillId="0" borderId="0" xfId="0" applyFont="1" applyAlignment="1">
      <alignment horizontal="center"/>
    </xf>
    <xf numFmtId="5" fontId="0" fillId="3" borderId="0" xfId="0" applyNumberFormat="1" applyFill="1" applyBorder="1"/>
    <xf numFmtId="5" fontId="0" fillId="0" borderId="0" xfId="0" applyNumberFormat="1" applyFill="1" applyBorder="1"/>
    <xf numFmtId="188" fontId="0" fillId="0" borderId="0" xfId="0" applyNumberFormat="1" applyAlignment="1">
      <alignment horizontal="center"/>
    </xf>
    <xf numFmtId="0" fontId="0" fillId="0" borderId="0" xfId="0" applyFill="1" applyAlignment="1">
      <alignment vertical="justify"/>
    </xf>
    <xf numFmtId="188" fontId="0" fillId="0" borderId="0" xfId="0" applyNumberFormat="1" applyFill="1" applyAlignment="1">
      <alignment horizontal="center"/>
    </xf>
    <xf numFmtId="164" fontId="0" fillId="0" borderId="2" xfId="0" applyNumberFormat="1" applyFill="1" applyBorder="1"/>
    <xf numFmtId="164" fontId="0" fillId="0" borderId="0" xfId="0" applyNumberFormat="1" applyFill="1" applyBorder="1"/>
    <xf numFmtId="164" fontId="9" fillId="0" borderId="0" xfId="1" applyNumberFormat="1" applyFill="1"/>
    <xf numFmtId="164" fontId="9" fillId="0" borderId="2" xfId="1" applyNumberFormat="1" applyFill="1" applyBorder="1"/>
    <xf numFmtId="164" fontId="9" fillId="0" borderId="0" xfId="1" applyNumberFormat="1" applyFill="1" applyBorder="1"/>
    <xf numFmtId="43" fontId="9" fillId="0" borderId="0" xfId="1" applyFill="1"/>
    <xf numFmtId="43" fontId="0" fillId="0" borderId="2" xfId="0" applyNumberFormat="1" applyFill="1" applyBorder="1"/>
    <xf numFmtId="189" fontId="9" fillId="0" borderId="0" xfId="0" applyNumberFormat="1" applyFont="1" applyFill="1"/>
    <xf numFmtId="0" fontId="32" fillId="0" borderId="0" xfId="0" applyFont="1" applyAlignment="1">
      <alignment horizontal="centerContinuous"/>
    </xf>
    <xf numFmtId="171" fontId="53" fillId="0" borderId="0" xfId="0" applyNumberFormat="1" applyFont="1" applyBorder="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applyFill="1"/>
    <xf numFmtId="189" fontId="9" fillId="7" borderId="0" xfId="0" applyNumberFormat="1" applyFont="1" applyFill="1"/>
    <xf numFmtId="0" fontId="0" fillId="0" borderId="0" xfId="0"/>
    <xf numFmtId="0" fontId="34" fillId="0" borderId="0" xfId="0" applyFont="1" applyFill="1" applyAlignment="1">
      <alignment horizontal="center"/>
    </xf>
    <xf numFmtId="0" fontId="0" fillId="0" borderId="0" xfId="0"/>
    <xf numFmtId="0" fontId="9" fillId="0" borderId="0" xfId="0" applyFont="1" applyAlignment="1">
      <alignment horizontal="left" indent="1"/>
    </xf>
    <xf numFmtId="169" fontId="42" fillId="9" borderId="0" xfId="0" applyNumberFormat="1" applyFont="1" applyFill="1"/>
    <xf numFmtId="0" fontId="42" fillId="9" borderId="0" xfId="0" applyFont="1" applyFill="1"/>
    <xf numFmtId="171" fontId="48" fillId="0" borderId="0" xfId="0" applyNumberFormat="1" applyFont="1" applyBorder="1"/>
    <xf numFmtId="0" fontId="0" fillId="0" borderId="0" xfId="0"/>
    <xf numFmtId="0" fontId="0" fillId="0" borderId="0" xfId="0"/>
    <xf numFmtId="191" fontId="0" fillId="0" borderId="0" xfId="0" applyNumberFormat="1" applyAlignment="1">
      <alignment horizontal="center"/>
    </xf>
    <xf numFmtId="0" fontId="0" fillId="0" borderId="0" xfId="0"/>
    <xf numFmtId="0" fontId="0" fillId="0" borderId="0" xfId="0"/>
    <xf numFmtId="0" fontId="10" fillId="0" borderId="0" xfId="0" applyFont="1" applyFill="1"/>
    <xf numFmtId="0" fontId="9" fillId="0" borderId="0" xfId="4"/>
    <xf numFmtId="0" fontId="10" fillId="0" borderId="0" xfId="4" applyFont="1" applyAlignment="1">
      <alignment horizontal="left"/>
    </xf>
    <xf numFmtId="0" fontId="10" fillId="0" borderId="0" xfId="4" applyFont="1" applyFill="1" applyAlignment="1">
      <alignment horizontal="left"/>
    </xf>
    <xf numFmtId="0" fontId="9" fillId="0" borderId="0" xfId="4"/>
    <xf numFmtId="0" fontId="10" fillId="0" borderId="0" xfId="4" applyFont="1" applyAlignment="1">
      <alignment horizontal="left"/>
    </xf>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0" fontId="9" fillId="0" borderId="0" xfId="0" applyFont="1" applyAlignment="1">
      <alignment wrapText="1"/>
    </xf>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Font="1" applyAlignment="1">
      <alignment horizontal="center"/>
    </xf>
    <xf numFmtId="5" fontId="23" fillId="0" borderId="0" xfId="0" applyNumberFormat="1" applyFont="1" applyAlignment="1">
      <alignment horizontal="center"/>
    </xf>
    <xf numFmtId="0" fontId="23" fillId="0" borderId="0" xfId="0" applyFont="1" applyAlignment="1">
      <alignment horizontal="center"/>
    </xf>
    <xf numFmtId="0" fontId="0" fillId="0" borderId="0" xfId="0"/>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0" fontId="9" fillId="0" borderId="0" xfId="0" applyFont="1" applyBorder="1" applyAlignment="1">
      <alignment horizontal="right"/>
    </xf>
    <xf numFmtId="5" fontId="9" fillId="0" borderId="0" xfId="0" applyNumberFormat="1" applyFont="1" applyBorder="1"/>
    <xf numFmtId="0" fontId="9" fillId="0" borderId="0" xfId="0" applyFont="1" applyBorder="1"/>
    <xf numFmtId="0" fontId="9" fillId="0" borderId="0" xfId="0" applyFont="1" applyFill="1" applyBorder="1" applyAlignment="1">
      <alignment horizontal="right"/>
    </xf>
    <xf numFmtId="5" fontId="9" fillId="0" borderId="0" xfId="0" applyNumberFormat="1" applyFont="1" applyAlignment="1">
      <alignment horizontal="center"/>
    </xf>
    <xf numFmtId="0" fontId="9" fillId="0" borderId="0" xfId="0" applyFont="1" applyBorder="1" applyAlignment="1">
      <alignment horizontal="center"/>
    </xf>
    <xf numFmtId="5" fontId="9" fillId="0" borderId="0" xfId="0" applyNumberFormat="1" applyFont="1" applyBorder="1" applyAlignment="1">
      <alignment horizontal="center"/>
    </xf>
    <xf numFmtId="5" fontId="9" fillId="0" borderId="1" xfId="0" applyNumberFormat="1" applyFont="1" applyBorder="1" applyAlignment="1">
      <alignment horizontal="center"/>
    </xf>
    <xf numFmtId="5" fontId="23" fillId="0" borderId="0" xfId="0" applyNumberFormat="1" applyFont="1"/>
    <xf numFmtId="5" fontId="9" fillId="0" borderId="0" xfId="0" applyNumberFormat="1" applyFont="1"/>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0" fontId="9" fillId="0" borderId="0" xfId="0" applyFont="1" applyFill="1" applyAlignment="1">
      <alignment horizontal="left" indent="1"/>
    </xf>
    <xf numFmtId="169" fontId="9" fillId="0" borderId="0" xfId="2" applyNumberFormat="1" applyFont="1" applyFill="1"/>
    <xf numFmtId="0" fontId="0" fillId="0" borderId="0" xfId="0"/>
    <xf numFmtId="0" fontId="23" fillId="0" borderId="0" xfId="0" applyFont="1" applyAlignment="1">
      <alignment horizontal="center"/>
    </xf>
    <xf numFmtId="0" fontId="0" fillId="0" borderId="0" xfId="0"/>
    <xf numFmtId="171" fontId="9" fillId="0" borderId="0" xfId="3" applyNumberFormat="1" applyFont="1"/>
    <xf numFmtId="175" fontId="0" fillId="0" borderId="0" xfId="0" applyNumberFormat="1" applyBorder="1"/>
    <xf numFmtId="0" fontId="0" fillId="0" borderId="0" xfId="0" applyBorder="1" applyAlignment="1">
      <alignment horizontal="centerContinuous"/>
    </xf>
    <xf numFmtId="0" fontId="23" fillId="0" borderId="0" xfId="0" quotePrefix="1" applyFont="1" applyBorder="1" applyAlignment="1">
      <alignment horizontal="center"/>
    </xf>
    <xf numFmtId="0" fontId="0" fillId="0" borderId="0" xfId="0"/>
    <xf numFmtId="37" fontId="57" fillId="0" borderId="0" xfId="0" applyNumberFormat="1" applyFont="1" applyFill="1"/>
    <xf numFmtId="0" fontId="9" fillId="0" borderId="0" xfId="4" applyFont="1" applyAlignment="1"/>
    <xf numFmtId="0" fontId="9" fillId="0" borderId="0" xfId="4" applyFont="1"/>
    <xf numFmtId="164" fontId="9" fillId="0" borderId="0" xfId="1" applyNumberFormat="1"/>
    <xf numFmtId="164" fontId="17" fillId="0" borderId="0" xfId="1" applyNumberFormat="1" applyFont="1" applyFill="1" applyBorder="1"/>
    <xf numFmtId="0" fontId="10" fillId="0" borderId="0" xfId="1" applyNumberFormat="1" applyFont="1" applyFill="1"/>
    <xf numFmtId="0" fontId="0" fillId="0" borderId="0" xfId="0"/>
    <xf numFmtId="164" fontId="60" fillId="8" borderId="0" xfId="1" applyNumberFormat="1" applyFont="1" applyFill="1"/>
    <xf numFmtId="164" fontId="17" fillId="8" borderId="0" xfId="1" applyNumberFormat="1" applyFont="1" applyFill="1" applyBorder="1"/>
    <xf numFmtId="169" fontId="9" fillId="0" borderId="0" xfId="0" applyNumberFormat="1" applyFont="1"/>
    <xf numFmtId="169" fontId="55" fillId="0" borderId="0" xfId="2" applyNumberFormat="1" applyFont="1"/>
    <xf numFmtId="193"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80" fontId="23" fillId="0" borderId="0" xfId="0" applyNumberFormat="1" applyFont="1" applyFill="1"/>
    <xf numFmtId="0" fontId="0" fillId="0" borderId="0" xfId="0"/>
    <xf numFmtId="1" fontId="9" fillId="0" borderId="0" xfId="0" applyNumberFormat="1" applyFont="1"/>
    <xf numFmtId="44" fontId="9" fillId="0" borderId="0" xfId="0" applyNumberFormat="1" applyFont="1"/>
    <xf numFmtId="44" fontId="23" fillId="0" borderId="0" xfId="2" applyFont="1"/>
    <xf numFmtId="0" fontId="0" fillId="0" borderId="0" xfId="0"/>
    <xf numFmtId="0" fontId="9" fillId="0" borderId="0" xfId="4"/>
    <xf numFmtId="0" fontId="9" fillId="0" borderId="0" xfId="4" applyFill="1"/>
    <xf numFmtId="164" fontId="0" fillId="0" borderId="2" xfId="11" applyNumberFormat="1" applyFont="1" applyBorder="1"/>
    <xf numFmtId="164" fontId="0" fillId="0" borderId="0" xfId="1" applyNumberFormat="1" applyFont="1"/>
    <xf numFmtId="164" fontId="0" fillId="0" borderId="1" xfId="1" applyNumberFormat="1" applyFont="1" applyBorder="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2" xfId="1" applyNumberFormat="1" applyFont="1" applyFill="1" applyBorder="1"/>
    <xf numFmtId="164" fontId="9" fillId="0" borderId="0" xfId="1" applyNumberFormat="1" applyFont="1" applyFill="1"/>
    <xf numFmtId="43" fontId="9" fillId="0" borderId="0" xfId="1" applyFill="1"/>
    <xf numFmtId="164" fontId="36" fillId="0" borderId="0" xfId="1" applyNumberFormat="1" applyFont="1" applyFill="1" applyBorder="1"/>
    <xf numFmtId="0" fontId="9" fillId="0" borderId="0" xfId="0" applyFont="1"/>
    <xf numFmtId="174" fontId="9" fillId="0" borderId="0" xfId="0" applyNumberFormat="1" applyFont="1" applyFill="1"/>
    <xf numFmtId="164" fontId="17" fillId="0" borderId="0" xfId="1" applyNumberFormat="1" applyFont="1" applyFill="1"/>
    <xf numFmtId="164" fontId="36" fillId="0" borderId="0" xfId="1" applyNumberFormat="1" applyFont="1" applyFill="1"/>
    <xf numFmtId="164" fontId="59" fillId="0" borderId="0" xfId="1" applyNumberFormat="1" applyFont="1" applyFill="1" applyBorder="1"/>
    <xf numFmtId="164" fontId="60" fillId="0" borderId="0" xfId="1" applyNumberFormat="1" applyFont="1" applyFill="1"/>
    <xf numFmtId="164" fontId="60" fillId="0" borderId="0" xfId="1" applyNumberFormat="1" applyFont="1" applyFill="1" applyBorder="1"/>
    <xf numFmtId="164" fontId="61" fillId="0" borderId="0" xfId="1" applyNumberFormat="1" applyFont="1" applyFill="1"/>
    <xf numFmtId="0" fontId="0" fillId="0" borderId="0" xfId="0"/>
    <xf numFmtId="169" fontId="9" fillId="0" borderId="0" xfId="2" applyNumberFormat="1" applyFont="1" applyBorder="1"/>
    <xf numFmtId="0" fontId="0" fillId="0" borderId="0" xfId="0"/>
    <xf numFmtId="176" fontId="34" fillId="0" borderId="0" xfId="0" applyNumberFormat="1" applyFont="1" applyFill="1"/>
    <xf numFmtId="164" fontId="55" fillId="0" borderId="0" xfId="1" applyNumberFormat="1" applyFont="1" applyAlignment="1">
      <alignment horizontal="center"/>
    </xf>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0" fontId="0" fillId="0" borderId="0" xfId="0"/>
    <xf numFmtId="171" fontId="0" fillId="0" borderId="0" xfId="3" applyNumberFormat="1" applyFont="1"/>
    <xf numFmtId="0" fontId="0" fillId="0" borderId="0" xfId="0"/>
    <xf numFmtId="192" fontId="9" fillId="0" borderId="0" xfId="2" applyNumberFormat="1" applyFont="1"/>
    <xf numFmtId="171" fontId="23" fillId="0" borderId="0" xfId="3" applyNumberFormat="1" applyFont="1"/>
    <xf numFmtId="0" fontId="23" fillId="0" borderId="0" xfId="0" applyFont="1" applyAlignment="1">
      <alignment horizontal="center"/>
    </xf>
    <xf numFmtId="176" fontId="32" fillId="0" borderId="0" xfId="0" applyNumberFormat="1" applyFont="1" applyAlignment="1">
      <alignment horizontal="center"/>
    </xf>
    <xf numFmtId="166" fontId="23" fillId="0" borderId="0" xfId="0" applyNumberFormat="1" applyFont="1" applyAlignment="1">
      <alignment horizontal="right"/>
    </xf>
    <xf numFmtId="166" fontId="23" fillId="0" borderId="0" xfId="0" applyNumberFormat="1" applyFont="1" applyBorder="1"/>
    <xf numFmtId="166" fontId="9" fillId="0" borderId="0" xfId="0" applyNumberFormat="1" applyFont="1" applyAlignment="1">
      <alignment horizontal="right"/>
    </xf>
    <xf numFmtId="166" fontId="23" fillId="0" borderId="0" xfId="0" applyNumberFormat="1" applyFont="1" applyFill="1"/>
    <xf numFmtId="169" fontId="9" fillId="0" borderId="0" xfId="2" applyNumberFormat="1" applyFont="1"/>
    <xf numFmtId="169" fontId="9" fillId="0" borderId="0" xfId="2" applyNumberFormat="1" applyFont="1" applyFill="1"/>
    <xf numFmtId="0" fontId="9" fillId="0" borderId="0" xfId="728" applyFont="1" applyAlignment="1"/>
    <xf numFmtId="0" fontId="9" fillId="0" borderId="0" xfId="728" applyFont="1" applyAlignment="1">
      <alignment horizontal="left"/>
    </xf>
    <xf numFmtId="171" fontId="9" fillId="0" borderId="0" xfId="3" applyNumberFormat="1" applyFont="1"/>
    <xf numFmtId="0" fontId="0" fillId="0" borderId="0" xfId="0"/>
    <xf numFmtId="0" fontId="0" fillId="0" borderId="0" xfId="0"/>
    <xf numFmtId="0" fontId="0" fillId="0" borderId="0" xfId="0"/>
    <xf numFmtId="170" fontId="57" fillId="0" borderId="0" xfId="0" applyNumberFormat="1" applyFont="1"/>
    <xf numFmtId="37" fontId="91" fillId="0" borderId="0" xfId="0" applyNumberFormat="1" applyFont="1" applyFill="1"/>
    <xf numFmtId="0" fontId="0" fillId="0" borderId="0" xfId="0"/>
    <xf numFmtId="0" fontId="0" fillId="0" borderId="0" xfId="0" applyAlignment="1">
      <alignment horizontal="center"/>
    </xf>
    <xf numFmtId="164" fontId="0" fillId="0" borderId="0" xfId="0" applyNumberFormat="1"/>
    <xf numFmtId="0" fontId="38" fillId="0" borderId="0" xfId="0" applyFont="1"/>
    <xf numFmtId="188" fontId="9" fillId="0" borderId="0" xfId="4" applyNumberFormat="1" applyAlignment="1">
      <alignment horizontal="center"/>
    </xf>
    <xf numFmtId="9" fontId="0" fillId="0" borderId="0" xfId="3" applyFont="1"/>
    <xf numFmtId="9" fontId="0" fillId="0" borderId="0" xfId="0" applyNumberFormat="1"/>
    <xf numFmtId="164" fontId="0" fillId="46" borderId="0" xfId="11" applyNumberFormat="1" applyFont="1" applyFill="1" applyBorder="1"/>
    <xf numFmtId="164" fontId="0" fillId="11" borderId="0" xfId="11" applyNumberFormat="1" applyFont="1" applyFill="1" applyBorder="1"/>
    <xf numFmtId="0" fontId="0" fillId="9" borderId="0" xfId="0" applyFill="1"/>
    <xf numFmtId="0" fontId="0" fillId="0" borderId="0" xfId="0"/>
    <xf numFmtId="0" fontId="23" fillId="0" borderId="0" xfId="0" applyFont="1" applyAlignment="1">
      <alignment horizontal="center"/>
    </xf>
    <xf numFmtId="192" fontId="23" fillId="0" borderId="0" xfId="2" applyNumberFormat="1" applyFont="1"/>
    <xf numFmtId="0" fontId="23" fillId="0" borderId="0" xfId="0" applyFont="1" applyAlignment="1">
      <alignment horizontal="center"/>
    </xf>
    <xf numFmtId="0" fontId="0" fillId="0" borderId="0" xfId="0"/>
    <xf numFmtId="164" fontId="34" fillId="0" borderId="0" xfId="15" applyNumberFormat="1" applyFont="1" applyFill="1"/>
    <xf numFmtId="164" fontId="34" fillId="0" borderId="0" xfId="4511" applyNumberFormat="1" applyFont="1" applyFill="1"/>
    <xf numFmtId="188" fontId="9" fillId="0" borderId="0" xfId="4" applyNumberFormat="1" applyAlignment="1">
      <alignment horizontal="center"/>
    </xf>
    <xf numFmtId="164" fontId="41" fillId="0" borderId="0" xfId="4511" applyNumberFormat="1" applyFont="1" applyFill="1"/>
    <xf numFmtId="164" fontId="41" fillId="0" borderId="0" xfId="4511" applyNumberFormat="1" applyFont="1"/>
    <xf numFmtId="0" fontId="0" fillId="0" borderId="3" xfId="0" applyBorder="1"/>
    <xf numFmtId="0" fontId="0" fillId="0" borderId="0" xfId="0"/>
    <xf numFmtId="170" fontId="0" fillId="0" borderId="0" xfId="0" applyNumberFormat="1"/>
    <xf numFmtId="0" fontId="0" fillId="0" borderId="0" xfId="0" applyAlignment="1">
      <alignment horizontal="right"/>
    </xf>
    <xf numFmtId="168" fontId="0" fillId="0" borderId="0" xfId="0" applyNumberFormat="1"/>
    <xf numFmtId="0" fontId="34" fillId="0" borderId="0" xfId="0" applyFont="1" applyAlignment="1">
      <alignment horizontal="center"/>
    </xf>
    <xf numFmtId="170" fontId="34" fillId="0" borderId="0" xfId="0" applyNumberFormat="1" applyFont="1" applyFill="1"/>
    <xf numFmtId="0" fontId="0" fillId="0" borderId="0" xfId="0" applyBorder="1"/>
    <xf numFmtId="0" fontId="9" fillId="0" borderId="0" xfId="0" applyFont="1" applyAlignment="1">
      <alignment horizontal="center"/>
    </xf>
    <xf numFmtId="174" fontId="9" fillId="0" borderId="0" xfId="0" applyNumberFormat="1" applyFont="1" applyFill="1"/>
    <xf numFmtId="174" fontId="0" fillId="0" borderId="0" xfId="0" applyNumberFormat="1"/>
    <xf numFmtId="0" fontId="23" fillId="0" borderId="0" xfId="0" applyFont="1" applyFill="1" applyBorder="1" applyAlignment="1">
      <alignment horizontal="center"/>
    </xf>
    <xf numFmtId="44" fontId="0" fillId="0" borderId="0" xfId="2" applyFont="1"/>
    <xf numFmtId="174" fontId="55" fillId="0" borderId="0" xfId="85" applyNumberFormat="1" applyFont="1" applyFill="1"/>
    <xf numFmtId="164" fontId="55" fillId="0" borderId="0" xfId="1" applyNumberFormat="1" applyFont="1" applyAlignment="1">
      <alignment horizontal="center"/>
    </xf>
    <xf numFmtId="0" fontId="0" fillId="0" borderId="0" xfId="0"/>
    <xf numFmtId="192" fontId="0" fillId="0" borderId="0" xfId="2" applyNumberFormat="1" applyFont="1" applyFill="1"/>
    <xf numFmtId="0" fontId="23" fillId="0" borderId="0" xfId="0" applyFont="1" applyAlignment="1">
      <alignment horizontal="center"/>
    </xf>
    <xf numFmtId="0" fontId="0" fillId="0" borderId="0" xfId="0"/>
    <xf numFmtId="0" fontId="0" fillId="0" borderId="0" xfId="0"/>
    <xf numFmtId="192" fontId="23" fillId="0" borderId="0" xfId="2" applyNumberFormat="1" applyFont="1" applyFill="1"/>
    <xf numFmtId="0" fontId="0" fillId="0" borderId="0" xfId="0" quotePrefix="1" applyFill="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5" fontId="23" fillId="0" borderId="0" xfId="0" applyNumberFormat="1" applyFont="1" applyAlignment="1">
      <alignment horizontal="center"/>
    </xf>
    <xf numFmtId="0" fontId="29" fillId="0" borderId="0" xfId="0" applyFont="1" applyAlignment="1">
      <alignment horizontal="left"/>
    </xf>
    <xf numFmtId="164" fontId="0" fillId="0" borderId="0" xfId="1" applyNumberFormat="1" applyFont="1" applyFill="1"/>
    <xf numFmtId="0" fontId="0" fillId="0" borderId="0" xfId="0"/>
    <xf numFmtId="0" fontId="164" fillId="0" borderId="0" xfId="0" applyFont="1"/>
    <xf numFmtId="0" fontId="0" fillId="0" borderId="0" xfId="0"/>
    <xf numFmtId="174" fontId="55" fillId="0" borderId="0" xfId="0" applyNumberFormat="1" applyFont="1" applyFill="1"/>
    <xf numFmtId="0" fontId="164" fillId="0" borderId="0" xfId="0" applyFont="1" applyAlignment="1">
      <alignment horizontal="right"/>
    </xf>
    <xf numFmtId="0" fontId="165" fillId="0" borderId="0" xfId="0" applyFont="1" applyAlignment="1">
      <alignment horizontal="center"/>
    </xf>
    <xf numFmtId="174" fontId="86" fillId="0" borderId="0" xfId="85" applyNumberFormat="1" applyFont="1" applyFill="1"/>
    <xf numFmtId="192" fontId="55" fillId="0" borderId="0" xfId="2" applyNumberFormat="1" applyFont="1" applyFill="1"/>
    <xf numFmtId="171" fontId="0" fillId="0" borderId="0" xfId="0" applyNumberFormat="1" applyFill="1"/>
    <xf numFmtId="175" fontId="9" fillId="0" borderId="0" xfId="0" applyNumberFormat="1" applyFont="1"/>
    <xf numFmtId="0" fontId="0" fillId="0" borderId="0" xfId="0"/>
    <xf numFmtId="169" fontId="0" fillId="0" borderId="11" xfId="0" applyNumberFormat="1" applyBorder="1"/>
    <xf numFmtId="192" fontId="55" fillId="0" borderId="0" xfId="2" applyNumberFormat="1" applyFont="1"/>
    <xf numFmtId="0" fontId="0" fillId="0" borderId="0" xfId="0"/>
    <xf numFmtId="168" fontId="164" fillId="0" borderId="0" xfId="0" applyNumberFormat="1" applyFont="1"/>
    <xf numFmtId="174" fontId="166" fillId="0" borderId="0" xfId="0" applyNumberFormat="1" applyFont="1" applyFill="1"/>
    <xf numFmtId="174" fontId="164" fillId="0" borderId="0" xfId="0" applyNumberFormat="1" applyFont="1" applyFill="1"/>
    <xf numFmtId="169" fontId="0" fillId="0" borderId="0" xfId="2" applyNumberFormat="1" applyFont="1" applyBorder="1"/>
    <xf numFmtId="0" fontId="0" fillId="0" borderId="0" xfId="0"/>
    <xf numFmtId="0" fontId="0" fillId="0" borderId="0" xfId="0"/>
    <xf numFmtId="174" fontId="86" fillId="0" borderId="0" xfId="0" applyNumberFormat="1" applyFont="1" applyFill="1"/>
    <xf numFmtId="0" fontId="0" fillId="0" borderId="0" xfId="0"/>
    <xf numFmtId="0" fontId="0" fillId="0" borderId="0" xfId="0"/>
    <xf numFmtId="5" fontId="9" fillId="0" borderId="0" xfId="0" applyNumberFormat="1" applyFont="1" applyFill="1" applyAlignment="1">
      <alignment horizontal="center"/>
    </xf>
    <xf numFmtId="3" fontId="17" fillId="0" borderId="0" xfId="0" applyNumberFormat="1" applyFont="1" applyFill="1"/>
    <xf numFmtId="164" fontId="22" fillId="0" borderId="0" xfId="1" applyNumberFormat="1" applyFont="1" applyFill="1"/>
    <xf numFmtId="37" fontId="0" fillId="0" borderId="0" xfId="0" applyNumberFormat="1"/>
    <xf numFmtId="0" fontId="9" fillId="0" borderId="0" xfId="0" applyFont="1" applyFill="1"/>
    <xf numFmtId="5" fontId="32" fillId="0" borderId="0" xfId="4" applyNumberFormat="1" applyFont="1" applyAlignment="1">
      <alignment horizontal="center"/>
    </xf>
    <xf numFmtId="5" fontId="32" fillId="0" borderId="0" xfId="0" applyNumberFormat="1" applyFont="1" applyFill="1" applyAlignment="1">
      <alignment horizontal="center"/>
    </xf>
    <xf numFmtId="171" fontId="9" fillId="0" borderId="0" xfId="3" applyNumberFormat="1" applyFont="1" applyAlignment="1">
      <alignment horizontal="center"/>
    </xf>
    <xf numFmtId="10" fontId="9" fillId="0" borderId="0" xfId="3" applyNumberFormat="1" applyFont="1" applyAlignment="1">
      <alignment horizontal="center"/>
    </xf>
    <xf numFmtId="182" fontId="9" fillId="0" borderId="0" xfId="0" quotePrefix="1" applyNumberFormat="1" applyFont="1" applyFill="1" applyAlignment="1">
      <alignment horizontal="left"/>
    </xf>
    <xf numFmtId="0" fontId="9" fillId="0" borderId="0" xfId="0" applyFont="1" applyFill="1" applyAlignment="1">
      <alignment horizontal="center"/>
    </xf>
    <xf numFmtId="171" fontId="10" fillId="0" borderId="0" xfId="3" applyNumberFormat="1" applyFont="1"/>
    <xf numFmtId="0" fontId="0" fillId="0" borderId="0" xfId="0"/>
    <xf numFmtId="43" fontId="10" fillId="0" borderId="0" xfId="0" applyNumberFormat="1" applyFont="1"/>
    <xf numFmtId="0" fontId="0" fillId="0" borderId="0" xfId="0"/>
    <xf numFmtId="0" fontId="0" fillId="0" borderId="0" xfId="0"/>
    <xf numFmtId="164" fontId="28" fillId="0" borderId="0" xfId="1" applyNumberFormat="1" applyFont="1" applyFill="1"/>
    <xf numFmtId="16" fontId="0" fillId="0" borderId="0" xfId="0" applyNumberFormat="1"/>
    <xf numFmtId="0" fontId="0" fillId="0" borderId="0" xfId="0"/>
    <xf numFmtId="0" fontId="0" fillId="0" borderId="0" xfId="0"/>
    <xf numFmtId="175" fontId="164" fillId="0" borderId="0" xfId="0" applyNumberFormat="1" applyFont="1"/>
    <xf numFmtId="174" fontId="166" fillId="0" borderId="0" xfId="85" applyNumberFormat="1" applyFont="1" applyFill="1"/>
    <xf numFmtId="170" fontId="164" fillId="0" borderId="0" xfId="0" applyNumberFormat="1" applyFont="1"/>
    <xf numFmtId="174" fontId="164" fillId="0" borderId="0" xfId="0" applyNumberFormat="1" applyFont="1"/>
    <xf numFmtId="178" fontId="0" fillId="0" borderId="0" xfId="0" applyNumberFormat="1" applyFill="1"/>
    <xf numFmtId="164" fontId="166" fillId="0" borderId="0" xfId="1" applyNumberFormat="1" applyFont="1" applyAlignment="1">
      <alignment horizontal="center"/>
    </xf>
    <xf numFmtId="170" fontId="165" fillId="0" borderId="0" xfId="0" applyNumberFormat="1" applyFont="1" applyFill="1"/>
    <xf numFmtId="44" fontId="164" fillId="0" borderId="0" xfId="2" applyFont="1"/>
    <xf numFmtId="0" fontId="165" fillId="0" borderId="0" xfId="0" applyFont="1" applyFill="1" applyAlignment="1">
      <alignment horizontal="center"/>
    </xf>
    <xf numFmtId="168" fontId="164" fillId="0" borderId="0" xfId="0" applyNumberFormat="1" applyFont="1" applyFill="1"/>
    <xf numFmtId="0" fontId="164" fillId="0" borderId="0" xfId="0" applyFont="1" applyFill="1"/>
    <xf numFmtId="0" fontId="164" fillId="0" borderId="0" xfId="0" applyFont="1" applyFill="1" applyAlignment="1">
      <alignment horizontal="right"/>
    </xf>
    <xf numFmtId="174" fontId="167" fillId="0" borderId="0" xfId="0" applyNumberFormat="1" applyFont="1" applyFill="1"/>
    <xf numFmtId="0" fontId="168" fillId="0" borderId="0" xfId="0" applyFont="1"/>
    <xf numFmtId="0" fontId="0" fillId="0" borderId="0" xfId="0" applyBorder="1" applyAlignment="1">
      <alignment horizontal="right"/>
    </xf>
    <xf numFmtId="176" fontId="0" fillId="0" borderId="0" xfId="0" applyNumberFormat="1" applyBorder="1"/>
    <xf numFmtId="175" fontId="9" fillId="0" borderId="0" xfId="0" applyNumberFormat="1" applyFont="1" applyBorder="1"/>
    <xf numFmtId="175" fontId="27" fillId="0" borderId="0" xfId="0" applyNumberFormat="1" applyFont="1" applyFill="1"/>
    <xf numFmtId="0" fontId="32" fillId="0" borderId="0" xfId="0" applyFont="1" applyFill="1" applyBorder="1"/>
    <xf numFmtId="176" fontId="0" fillId="0" borderId="0" xfId="0" applyNumberFormat="1" applyFill="1" applyBorder="1"/>
    <xf numFmtId="175" fontId="9" fillId="0" borderId="0" xfId="0" applyNumberFormat="1" applyFont="1" applyFill="1" applyBorder="1"/>
    <xf numFmtId="175" fontId="0" fillId="0" borderId="0" xfId="0" applyNumberFormat="1" applyFill="1" applyBorder="1"/>
    <xf numFmtId="164" fontId="0" fillId="0" borderId="0" xfId="0" applyNumberFormat="1" applyFill="1" applyAlignment="1">
      <alignment vertical="justify"/>
    </xf>
    <xf numFmtId="0" fontId="9" fillId="0" borderId="0" xfId="4" applyFont="1" applyFill="1" applyProtection="1">
      <protection hidden="1"/>
    </xf>
    <xf numFmtId="0" fontId="0" fillId="0" borderId="0" xfId="0"/>
    <xf numFmtId="0" fontId="0" fillId="0" borderId="0" xfId="0" applyBorder="1" applyAlignment="1">
      <alignment horizontal="center"/>
    </xf>
    <xf numFmtId="0" fontId="90" fillId="0" borderId="0" xfId="0" applyFont="1"/>
    <xf numFmtId="0" fontId="55" fillId="8" borderId="0" xfId="0" applyFont="1" applyFill="1" applyAlignment="1">
      <alignment horizontal="center"/>
    </xf>
    <xf numFmtId="5" fontId="23" fillId="0" borderId="0" xfId="0" applyNumberFormat="1" applyFont="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0" fillId="0" borderId="0" xfId="0"/>
    <xf numFmtId="0" fontId="169" fillId="77" borderId="39" xfId="0" applyFont="1" applyFill="1" applyBorder="1" applyAlignment="1">
      <alignment horizontal="left" vertical="top"/>
    </xf>
    <xf numFmtId="3" fontId="170" fillId="0" borderId="40" xfId="0" applyNumberFormat="1" applyFont="1" applyBorder="1" applyAlignment="1">
      <alignment horizontal="right" vertical="top"/>
    </xf>
    <xf numFmtId="3" fontId="171" fillId="78" borderId="41" xfId="0" applyNumberFormat="1" applyFont="1" applyFill="1" applyBorder="1" applyAlignment="1">
      <alignment horizontal="right" vertical="top"/>
    </xf>
    <xf numFmtId="0" fontId="0" fillId="0" borderId="40" xfId="0" applyBorder="1"/>
    <xf numFmtId="0" fontId="0" fillId="0" borderId="0" xfId="0"/>
    <xf numFmtId="0" fontId="0" fillId="0" borderId="0" xfId="0"/>
    <xf numFmtId="164" fontId="0" fillId="0" borderId="0" xfId="1" applyNumberFormat="1" applyFont="1" applyFill="1" applyBorder="1"/>
    <xf numFmtId="10" fontId="41" fillId="0" borderId="0" xfId="0" applyNumberFormat="1" applyFont="1" applyFill="1"/>
    <xf numFmtId="0" fontId="9" fillId="0" borderId="0" xfId="0" quotePrefix="1" applyFont="1" applyFill="1"/>
    <xf numFmtId="0" fontId="0" fillId="0" borderId="0" xfId="0"/>
    <xf numFmtId="5" fontId="23" fillId="0" borderId="0" xfId="0" applyNumberFormat="1" applyFont="1" applyFill="1" applyBorder="1"/>
    <xf numFmtId="164" fontId="36" fillId="8" borderId="0" xfId="1" applyNumberFormat="1" applyFont="1" applyFill="1"/>
    <xf numFmtId="0" fontId="0" fillId="0" borderId="0" xfId="0"/>
    <xf numFmtId="0" fontId="169" fillId="77" borderId="39" xfId="0" applyFont="1" applyFill="1" applyBorder="1" applyAlignment="1">
      <alignment horizontal="left" vertical="top"/>
    </xf>
    <xf numFmtId="0" fontId="0" fillId="0" borderId="0" xfId="0"/>
    <xf numFmtId="0" fontId="0" fillId="0" borderId="13" xfId="0" applyFill="1" applyBorder="1"/>
    <xf numFmtId="0" fontId="0" fillId="0" borderId="48" xfId="0" applyBorder="1" applyAlignment="1">
      <alignment horizontal="center"/>
    </xf>
    <xf numFmtId="0" fontId="0" fillId="0" borderId="48" xfId="0" applyBorder="1"/>
    <xf numFmtId="164" fontId="0" fillId="0" borderId="48" xfId="11" applyNumberFormat="1" applyFont="1" applyBorder="1"/>
    <xf numFmtId="0" fontId="0" fillId="0" borderId="49" xfId="0" applyBorder="1"/>
    <xf numFmtId="0" fontId="0" fillId="0" borderId="14" xfId="0" applyBorder="1"/>
    <xf numFmtId="164" fontId="0" fillId="10" borderId="0" xfId="11" applyNumberFormat="1" applyFont="1" applyFill="1" applyBorder="1"/>
    <xf numFmtId="164" fontId="0" fillId="0" borderId="0" xfId="11" applyNumberFormat="1" applyFont="1" applyBorder="1"/>
    <xf numFmtId="0" fontId="0" fillId="0" borderId="38" xfId="0" applyBorder="1"/>
    <xf numFmtId="164" fontId="9" fillId="46" borderId="0" xfId="1" applyNumberFormat="1" applyFill="1" applyBorder="1"/>
    <xf numFmtId="164" fontId="0" fillId="0" borderId="0" xfId="11" applyNumberFormat="1" applyFont="1" applyFill="1" applyBorder="1"/>
    <xf numFmtId="171" fontId="0" fillId="0" borderId="38" xfId="12" applyNumberFormat="1" applyFont="1" applyBorder="1"/>
    <xf numFmtId="0" fontId="0" fillId="0" borderId="15" xfId="0" applyBorder="1"/>
    <xf numFmtId="164" fontId="0" fillId="0" borderId="3" xfId="11" applyNumberFormat="1" applyFont="1" applyBorder="1"/>
    <xf numFmtId="164" fontId="0" fillId="0" borderId="3" xfId="11" applyNumberFormat="1" applyFont="1" applyFill="1" applyBorder="1"/>
    <xf numFmtId="164" fontId="0" fillId="0" borderId="3" xfId="0" applyNumberFormat="1" applyBorder="1"/>
    <xf numFmtId="171" fontId="0" fillId="0" borderId="37" xfId="12" applyNumberFormat="1" applyFont="1" applyBorder="1"/>
    <xf numFmtId="171" fontId="0" fillId="0" borderId="48" xfId="12" applyNumberFormat="1" applyFont="1" applyBorder="1"/>
    <xf numFmtId="0" fontId="0" fillId="0" borderId="14" xfId="0" applyFill="1" applyBorder="1"/>
    <xf numFmtId="171" fontId="0" fillId="0" borderId="0" xfId="12" applyNumberFormat="1" applyFont="1" applyBorder="1"/>
    <xf numFmtId="164" fontId="0" fillId="0" borderId="38" xfId="0" applyNumberFormat="1" applyBorder="1"/>
    <xf numFmtId="44" fontId="0" fillId="0" borderId="0" xfId="13" applyFont="1" applyFill="1" applyBorder="1"/>
    <xf numFmtId="44" fontId="0" fillId="0" borderId="0" xfId="13" applyFont="1" applyBorder="1"/>
    <xf numFmtId="44" fontId="0" fillId="0" borderId="38" xfId="0" applyNumberFormat="1" applyBorder="1"/>
    <xf numFmtId="0" fontId="0" fillId="0" borderId="3" xfId="0" applyFill="1" applyBorder="1"/>
    <xf numFmtId="0" fontId="0" fillId="0" borderId="37" xfId="0" applyBorder="1"/>
    <xf numFmtId="0" fontId="0" fillId="0" borderId="48" xfId="0" applyFill="1" applyBorder="1"/>
    <xf numFmtId="171" fontId="0" fillId="0" borderId="38" xfId="3" applyNumberFormat="1" applyFont="1" applyBorder="1"/>
    <xf numFmtId="0" fontId="9" fillId="0" borderId="0" xfId="0" applyFont="1" applyAlignment="1">
      <alignment horizontal="left" vertical="justify"/>
    </xf>
    <xf numFmtId="0" fontId="9" fillId="0" borderId="0" xfId="43228"/>
    <xf numFmtId="0" fontId="88" fillId="0" borderId="0" xfId="43228" applyFont="1" applyAlignment="1">
      <alignment vertical="justify"/>
    </xf>
    <xf numFmtId="0" fontId="9" fillId="0" borderId="0" xfId="0" applyFont="1" applyAlignment="1">
      <alignment horizontal="centerContinuous" vertical="justify"/>
    </xf>
    <xf numFmtId="3" fontId="41" fillId="0" borderId="0" xfId="23000" applyNumberFormat="1" applyFont="1" applyAlignment="1">
      <alignment vertical="justify"/>
    </xf>
    <xf numFmtId="3" fontId="0" fillId="0" borderId="0" xfId="0" applyNumberFormat="1" applyAlignment="1">
      <alignment vertical="justify"/>
    </xf>
    <xf numFmtId="3" fontId="9" fillId="0" borderId="2" xfId="43228" applyNumberFormat="1" applyBorder="1" applyAlignment="1">
      <alignment vertical="justify"/>
    </xf>
    <xf numFmtId="3" fontId="9" fillId="0" borderId="11" xfId="43228" applyNumberFormat="1" applyBorder="1" applyAlignment="1">
      <alignment vertical="justify"/>
    </xf>
    <xf numFmtId="171" fontId="0" fillId="0" borderId="0" xfId="3" applyNumberFormat="1" applyFont="1" applyAlignment="1">
      <alignment vertical="justify"/>
    </xf>
    <xf numFmtId="164" fontId="0" fillId="0" borderId="0" xfId="0" applyNumberFormat="1" applyAlignment="1">
      <alignment vertical="justify"/>
    </xf>
    <xf numFmtId="0" fontId="0" fillId="0" borderId="0" xfId="0"/>
    <xf numFmtId="43" fontId="0" fillId="0" borderId="0" xfId="0" applyNumberFormat="1" applyFill="1" applyBorder="1"/>
    <xf numFmtId="43" fontId="0" fillId="0" borderId="0" xfId="0" applyNumberFormat="1" applyBorder="1"/>
    <xf numFmtId="0" fontId="23" fillId="0" borderId="0" xfId="43228" applyFont="1"/>
    <xf numFmtId="3" fontId="9" fillId="0" borderId="0" xfId="1" applyNumberFormat="1" applyAlignment="1">
      <alignment vertical="justify"/>
    </xf>
    <xf numFmtId="0" fontId="57" fillId="0" borderId="0" xfId="0" applyNumberFormat="1" applyFont="1"/>
    <xf numFmtId="7" fontId="23" fillId="8" borderId="0" xfId="0" applyNumberFormat="1" applyFont="1" applyFill="1"/>
    <xf numFmtId="7" fontId="9" fillId="8" borderId="0" xfId="0" applyNumberFormat="1" applyFont="1" applyFill="1"/>
    <xf numFmtId="43" fontId="0" fillId="0" borderId="0" xfId="1" applyFont="1"/>
    <xf numFmtId="169" fontId="23" fillId="0" borderId="0" xfId="0" applyNumberFormat="1" applyFont="1"/>
    <xf numFmtId="0" fontId="0" fillId="0" borderId="0" xfId="0"/>
    <xf numFmtId="10" fontId="9" fillId="0" borderId="0" xfId="3" applyNumberFormat="1" applyFont="1" applyFill="1"/>
    <xf numFmtId="174" fontId="23" fillId="0" borderId="0" xfId="0" applyNumberFormat="1" applyFont="1" applyFill="1"/>
    <xf numFmtId="0" fontId="23" fillId="0" borderId="0" xfId="0" applyFont="1" applyAlignment="1">
      <alignment horizontal="center"/>
    </xf>
    <xf numFmtId="0" fontId="0" fillId="0" borderId="0" xfId="0"/>
    <xf numFmtId="0" fontId="169" fillId="77" borderId="39" xfId="0" applyFont="1" applyFill="1" applyBorder="1" applyAlignment="1">
      <alignment horizontal="left" vertical="top"/>
    </xf>
    <xf numFmtId="0" fontId="0" fillId="77" borderId="39" xfId="0" applyFill="1" applyBorder="1"/>
    <xf numFmtId="0" fontId="172" fillId="79" borderId="43" xfId="0" applyFont="1" applyFill="1" applyBorder="1" applyAlignment="1">
      <alignment horizontal="left" vertical="top"/>
    </xf>
    <xf numFmtId="0" fontId="0" fillId="77" borderId="42" xfId="0" applyFill="1" applyBorder="1"/>
    <xf numFmtId="0" fontId="0" fillId="0" borderId="0" xfId="0"/>
    <xf numFmtId="3" fontId="173" fillId="80" borderId="46" xfId="0" applyNumberFormat="1" applyFont="1" applyFill="1" applyBorder="1" applyAlignment="1">
      <alignment horizontal="right" vertical="top"/>
    </xf>
    <xf numFmtId="0" fontId="0" fillId="77" borderId="0" xfId="0" applyFill="1" applyBorder="1"/>
    <xf numFmtId="3" fontId="173" fillId="81" borderId="46" xfId="0" applyNumberFormat="1" applyFont="1" applyFill="1" applyBorder="1" applyAlignment="1">
      <alignment horizontal="right" vertical="top"/>
    </xf>
    <xf numFmtId="0" fontId="9" fillId="0" borderId="0" xfId="4" quotePrefix="1" applyFont="1" applyAlignment="1">
      <alignment horizontal="left"/>
    </xf>
    <xf numFmtId="0" fontId="9" fillId="0" borderId="0" xfId="4" applyFont="1" applyAlignment="1">
      <alignment horizontal="left"/>
    </xf>
    <xf numFmtId="0" fontId="9" fillId="0" borderId="0" xfId="4" applyFont="1" applyFill="1" applyAlignment="1">
      <alignment horizontal="left"/>
    </xf>
    <xf numFmtId="0" fontId="9" fillId="0" borderId="0" xfId="4" applyProtection="1">
      <protection hidden="1"/>
    </xf>
    <xf numFmtId="0" fontId="0" fillId="0" borderId="0" xfId="0"/>
    <xf numFmtId="0" fontId="9" fillId="0" borderId="48" xfId="0" applyFont="1" applyBorder="1" applyAlignment="1">
      <alignment horizontal="center"/>
    </xf>
    <xf numFmtId="190" fontId="38" fillId="0" borderId="0" xfId="0" applyNumberFormat="1" applyFont="1" applyAlignment="1">
      <alignment horizontal="center"/>
    </xf>
    <xf numFmtId="5" fontId="38" fillId="0" borderId="0" xfId="4" applyNumberFormat="1" applyFont="1" applyAlignment="1">
      <alignment horizontal="center"/>
    </xf>
    <xf numFmtId="171" fontId="38" fillId="0" borderId="0" xfId="0" applyNumberFormat="1" applyFont="1" applyAlignment="1">
      <alignment horizontal="center"/>
    </xf>
    <xf numFmtId="0" fontId="0" fillId="0" borderId="0" xfId="0"/>
    <xf numFmtId="0" fontId="0" fillId="0" borderId="0" xfId="0"/>
    <xf numFmtId="3" fontId="34" fillId="8" borderId="0" xfId="85" applyNumberFormat="1" applyFont="1" applyFill="1"/>
    <xf numFmtId="0" fontId="0" fillId="0" borderId="0" xfId="0"/>
    <xf numFmtId="164" fontId="0" fillId="0" borderId="0" xfId="0" applyNumberFormat="1" applyFill="1"/>
    <xf numFmtId="0" fontId="0" fillId="0" borderId="0" xfId="0" applyFill="1" applyAlignment="1"/>
    <xf numFmtId="164" fontId="0" fillId="0" borderId="0" xfId="1" applyNumberFormat="1" applyFont="1" applyFill="1" applyAlignment="1">
      <alignment horizontal="right"/>
    </xf>
    <xf numFmtId="164" fontId="0" fillId="0" borderId="0" xfId="1" quotePrefix="1" applyNumberFormat="1" applyFont="1" applyFill="1"/>
    <xf numFmtId="164" fontId="0" fillId="0" borderId="0" xfId="0" applyNumberFormat="1" applyFill="1" applyAlignment="1">
      <alignment horizontal="right"/>
    </xf>
    <xf numFmtId="0" fontId="176" fillId="0" borderId="0" xfId="0" applyFont="1"/>
    <xf numFmtId="0" fontId="0" fillId="0" borderId="0" xfId="0"/>
    <xf numFmtId="44" fontId="174" fillId="0" borderId="0" xfId="2" applyFont="1" applyFill="1"/>
    <xf numFmtId="44" fontId="0" fillId="0" borderId="0" xfId="0" applyNumberFormat="1" applyFill="1"/>
    <xf numFmtId="44" fontId="175" fillId="0" borderId="0" xfId="2" applyFont="1" applyFill="1"/>
    <xf numFmtId="44" fontId="0" fillId="0" borderId="0" xfId="2" applyFont="1" applyFill="1"/>
    <xf numFmtId="169" fontId="174" fillId="0" borderId="0" xfId="2" applyNumberFormat="1" applyFont="1" applyFill="1"/>
    <xf numFmtId="0" fontId="0" fillId="9" borderId="14" xfId="0" applyFill="1" applyBorder="1"/>
    <xf numFmtId="0" fontId="0" fillId="9" borderId="0" xfId="0" applyFill="1" applyBorder="1"/>
    <xf numFmtId="0" fontId="0" fillId="9" borderId="0" xfId="0" applyFill="1" applyBorder="1" applyAlignment="1">
      <alignment horizontal="center"/>
    </xf>
    <xf numFmtId="0" fontId="23" fillId="8" borderId="0" xfId="0" applyFont="1" applyFill="1"/>
    <xf numFmtId="0" fontId="0" fillId="8" borderId="0" xfId="0" applyFill="1"/>
    <xf numFmtId="164" fontId="41" fillId="8" borderId="0" xfId="4511" applyNumberFormat="1" applyFont="1" applyFill="1"/>
    <xf numFmtId="164" fontId="9" fillId="8" borderId="0" xfId="1" applyNumberFormat="1" applyFont="1" applyFill="1"/>
    <xf numFmtId="164" fontId="55" fillId="8" borderId="0" xfId="15" applyNumberFormat="1" applyFont="1" applyFill="1" applyBorder="1"/>
    <xf numFmtId="0" fontId="9" fillId="8" borderId="0" xfId="43228" applyFill="1"/>
    <xf numFmtId="164" fontId="0" fillId="82" borderId="0" xfId="1" applyNumberFormat="1" applyFont="1" applyFill="1" applyAlignment="1">
      <alignment horizontal="right"/>
    </xf>
    <xf numFmtId="10" fontId="0" fillId="0" borderId="0" xfId="3" applyNumberFormat="1" applyFont="1" applyBorder="1"/>
    <xf numFmtId="0" fontId="0" fillId="82" borderId="14" xfId="0" applyFill="1" applyBorder="1"/>
    <xf numFmtId="0" fontId="9" fillId="82" borderId="0" xfId="0" applyFont="1" applyFill="1" applyBorder="1"/>
    <xf numFmtId="0" fontId="0" fillId="0" borderId="48" xfId="0" applyFill="1" applyBorder="1" applyAlignment="1">
      <alignment horizontal="center"/>
    </xf>
    <xf numFmtId="0" fontId="0" fillId="0" borderId="0" xfId="0" applyFill="1" applyBorder="1" applyAlignment="1">
      <alignment horizontal="center"/>
    </xf>
    <xf numFmtId="0" fontId="177" fillId="8" borderId="0" xfId="0" applyFont="1" applyFill="1"/>
    <xf numFmtId="0" fontId="17" fillId="8" borderId="0" xfId="0" applyFont="1" applyFill="1"/>
    <xf numFmtId="164" fontId="0" fillId="9" borderId="0" xfId="0" applyNumberFormat="1" applyFill="1" applyBorder="1"/>
    <xf numFmtId="164" fontId="0" fillId="9" borderId="0" xfId="11" applyNumberFormat="1" applyFont="1" applyFill="1" applyBorder="1"/>
    <xf numFmtId="164" fontId="0" fillId="9" borderId="0" xfId="1" applyNumberFormat="1" applyFont="1" applyFill="1" applyBorder="1"/>
    <xf numFmtId="164" fontId="0" fillId="9" borderId="1" xfId="1" applyNumberFormat="1" applyFont="1" applyFill="1" applyBorder="1"/>
    <xf numFmtId="171" fontId="0" fillId="9" borderId="0" xfId="12" applyNumberFormat="1" applyFont="1" applyFill="1" applyBorder="1"/>
    <xf numFmtId="164" fontId="0" fillId="9" borderId="2" xfId="11" applyNumberFormat="1" applyFont="1" applyFill="1" applyBorder="1"/>
    <xf numFmtId="44" fontId="0" fillId="9" borderId="0" xfId="13" applyFont="1" applyFill="1" applyBorder="1"/>
    <xf numFmtId="0" fontId="30" fillId="8" borderId="1" xfId="0" applyFont="1" applyFill="1" applyBorder="1" applyAlignment="1">
      <alignment horizontal="centerContinuous"/>
    </xf>
    <xf numFmtId="0" fontId="0" fillId="8" borderId="1" xfId="0" applyFill="1" applyBorder="1" applyAlignment="1">
      <alignment horizontal="centerContinuous"/>
    </xf>
    <xf numFmtId="0" fontId="9" fillId="8" borderId="0" xfId="4" applyFont="1" applyFill="1" applyAlignment="1"/>
    <xf numFmtId="164" fontId="34" fillId="8" borderId="0" xfId="1" applyNumberFormat="1" applyFont="1" applyFill="1"/>
    <xf numFmtId="164" fontId="34" fillId="8" borderId="0" xfId="4511" applyNumberFormat="1" applyFont="1" applyFill="1"/>
    <xf numFmtId="0" fontId="176" fillId="8" borderId="0" xfId="0" applyFont="1" applyFill="1"/>
    <xf numFmtId="4" fontId="42" fillId="8" borderId="0" xfId="0" applyNumberFormat="1" applyFont="1" applyFill="1"/>
    <xf numFmtId="0" fontId="9" fillId="0" borderId="48" xfId="0" applyFont="1" applyFill="1" applyBorder="1" applyAlignment="1">
      <alignment horizontal="center"/>
    </xf>
    <xf numFmtId="0" fontId="9" fillId="8" borderId="0" xfId="0" applyFont="1" applyFill="1"/>
    <xf numFmtId="164" fontId="9" fillId="0" borderId="0" xfId="0" applyNumberFormat="1" applyFont="1" applyBorder="1"/>
    <xf numFmtId="0" fontId="23" fillId="8" borderId="0" xfId="0" applyFont="1" applyFill="1" applyAlignment="1">
      <alignment horizontal="center"/>
    </xf>
    <xf numFmtId="0" fontId="23" fillId="8" borderId="0" xfId="0" applyFont="1" applyFill="1" applyAlignment="1">
      <alignment horizontal="right"/>
    </xf>
    <xf numFmtId="0" fontId="0" fillId="8" borderId="0" xfId="0" applyFill="1" applyAlignment="1">
      <alignment horizontal="right"/>
    </xf>
    <xf numFmtId="0" fontId="0" fillId="8" borderId="0" xfId="0" applyFill="1" applyAlignment="1">
      <alignment horizontal="center"/>
    </xf>
    <xf numFmtId="0" fontId="0" fillId="8" borderId="0" xfId="0" quotePrefix="1" applyFill="1" applyAlignment="1">
      <alignment horizontal="center"/>
    </xf>
    <xf numFmtId="3" fontId="34" fillId="8" borderId="0" xfId="0" applyNumberFormat="1" applyFont="1" applyFill="1"/>
    <xf numFmtId="3" fontId="0" fillId="8" borderId="0" xfId="0" applyNumberFormat="1" applyFill="1"/>
    <xf numFmtId="3" fontId="0" fillId="8" borderId="2" xfId="0" applyNumberFormat="1" applyFill="1" applyBorder="1"/>
    <xf numFmtId="3" fontId="0" fillId="8" borderId="0" xfId="0" applyNumberFormat="1" applyFill="1" applyBorder="1"/>
    <xf numFmtId="0" fontId="31" fillId="8" borderId="0" xfId="0" applyFont="1" applyFill="1"/>
    <xf numFmtId="0" fontId="9" fillId="8" borderId="0" xfId="0" applyFont="1" applyFill="1" applyAlignment="1">
      <alignment horizontal="center"/>
    </xf>
    <xf numFmtId="164" fontId="0" fillId="8" borderId="0" xfId="0" applyNumberFormat="1" applyFill="1" applyBorder="1"/>
    <xf numFmtId="164" fontId="0" fillId="8" borderId="0" xfId="1" applyNumberFormat="1" applyFont="1" applyFill="1"/>
    <xf numFmtId="0" fontId="9" fillId="8" borderId="0" xfId="0" quotePrefix="1" applyFont="1" applyFill="1" applyAlignment="1">
      <alignment horizontal="center"/>
    </xf>
    <xf numFmtId="3" fontId="55" fillId="8" borderId="0" xfId="85" applyNumberFormat="1" applyFont="1" applyFill="1"/>
    <xf numFmtId="0" fontId="19" fillId="8" borderId="0" xfId="0" applyFont="1" applyFill="1"/>
    <xf numFmtId="164" fontId="17" fillId="8" borderId="0" xfId="1" applyNumberFormat="1" applyFont="1" applyFill="1"/>
    <xf numFmtId="164" fontId="60" fillId="8" borderId="0" xfId="1" applyNumberFormat="1" applyFont="1" applyFill="1" applyBorder="1"/>
    <xf numFmtId="0" fontId="19" fillId="8" borderId="0" xfId="0" applyFont="1" applyFill="1" applyAlignment="1">
      <alignment horizontal="center"/>
    </xf>
    <xf numFmtId="175" fontId="0" fillId="8" borderId="0" xfId="0" applyNumberFormat="1" applyFill="1"/>
    <xf numFmtId="164" fontId="57" fillId="8" borderId="0" xfId="1" applyNumberFormat="1" applyFont="1" applyFill="1"/>
    <xf numFmtId="0" fontId="10" fillId="8" borderId="0" xfId="4" applyFont="1" applyFill="1" applyAlignment="1">
      <alignment horizontal="left"/>
    </xf>
    <xf numFmtId="165" fontId="10" fillId="8" borderId="0" xfId="0" applyNumberFormat="1" applyFont="1" applyFill="1" applyAlignment="1">
      <alignment horizontal="left" indent="1"/>
    </xf>
    <xf numFmtId="164" fontId="10" fillId="8" borderId="0" xfId="1" applyNumberFormat="1" applyFont="1" applyFill="1"/>
    <xf numFmtId="164" fontId="35" fillId="8" borderId="0" xfId="1" applyNumberFormat="1" applyFont="1" applyFill="1"/>
    <xf numFmtId="5" fontId="14" fillId="8" borderId="0" xfId="0" applyNumberFormat="1" applyFont="1" applyFill="1"/>
    <xf numFmtId="165" fontId="10" fillId="8" borderId="0" xfId="0" applyNumberFormat="1" applyFont="1" applyFill="1"/>
    <xf numFmtId="4" fontId="0" fillId="8" borderId="0" xfId="0" applyNumberFormat="1" applyFill="1"/>
    <xf numFmtId="175" fontId="27" fillId="8" borderId="0" xfId="0" applyNumberFormat="1" applyFont="1" applyFill="1"/>
    <xf numFmtId="0" fontId="0" fillId="0" borderId="0" xfId="0"/>
    <xf numFmtId="0" fontId="9" fillId="82" borderId="0" xfId="4" applyFill="1" applyAlignment="1">
      <alignment horizontal="left"/>
    </xf>
    <xf numFmtId="0" fontId="10" fillId="9" borderId="0" xfId="0" applyFont="1" applyFill="1" applyAlignment="1">
      <alignment horizontal="center"/>
    </xf>
    <xf numFmtId="0" fontId="10" fillId="9" borderId="0" xfId="0" applyFont="1" applyFill="1" applyAlignment="1"/>
    <xf numFmtId="0" fontId="10" fillId="9" borderId="0" xfId="0" applyFont="1" applyFill="1"/>
    <xf numFmtId="0" fontId="10" fillId="9" borderId="0" xfId="0" applyFont="1" applyFill="1" applyAlignment="1">
      <alignment horizontal="right"/>
    </xf>
    <xf numFmtId="0" fontId="47" fillId="9" borderId="0" xfId="0" applyFont="1" applyFill="1" applyAlignment="1">
      <alignment horizontal="left" indent="1"/>
    </xf>
    <xf numFmtId="43" fontId="17" fillId="0" borderId="0" xfId="0" applyNumberFormat="1" applyFont="1" applyFill="1"/>
    <xf numFmtId="0" fontId="0" fillId="0" borderId="0" xfId="0" applyFill="1" applyAlignment="1">
      <alignment horizontal="center"/>
    </xf>
    <xf numFmtId="0" fontId="0" fillId="0" borderId="0" xfId="0" quotePrefix="1" applyFill="1" applyAlignment="1">
      <alignment horizontal="center"/>
    </xf>
    <xf numFmtId="3" fontId="34" fillId="0" borderId="0" xfId="85" applyNumberFormat="1" applyFont="1" applyFill="1"/>
    <xf numFmtId="3" fontId="0" fillId="0" borderId="0" xfId="0" applyNumberFormat="1" applyFill="1"/>
    <xf numFmtId="0" fontId="164" fillId="8" borderId="0" xfId="0" applyFont="1" applyFill="1"/>
    <xf numFmtId="174" fontId="86" fillId="8" borderId="0" xfId="0" applyNumberFormat="1" applyFont="1" applyFill="1"/>
    <xf numFmtId="174" fontId="55" fillId="8" borderId="0" xfId="0" applyNumberFormat="1" applyFont="1" applyFill="1"/>
    <xf numFmtId="174" fontId="166" fillId="8" borderId="0" xfId="0" applyNumberFormat="1" applyFont="1" applyFill="1"/>
    <xf numFmtId="0" fontId="55" fillId="0" borderId="0" xfId="4" applyFont="1" applyAlignment="1">
      <alignment horizontal="left"/>
    </xf>
    <xf numFmtId="0" fontId="55" fillId="0" borderId="0" xfId="4" quotePrefix="1" applyFont="1" applyAlignment="1">
      <alignment horizontal="left"/>
    </xf>
    <xf numFmtId="0" fontId="178" fillId="0" borderId="0" xfId="4" applyFont="1" applyFill="1" applyAlignment="1">
      <alignment horizontal="left"/>
    </xf>
    <xf numFmtId="5" fontId="10" fillId="0" borderId="0" xfId="0" applyNumberFormat="1" applyFont="1" applyFill="1" applyAlignment="1">
      <alignment horizontal="left" indent="1"/>
    </xf>
    <xf numFmtId="37" fontId="10" fillId="0" borderId="0" xfId="1" applyNumberFormat="1" applyFont="1" applyFill="1"/>
    <xf numFmtId="37" fontId="57" fillId="0" borderId="0" xfId="1" applyNumberFormat="1" applyFont="1" applyFill="1"/>
    <xf numFmtId="0" fontId="0" fillId="0" borderId="0" xfId="0"/>
    <xf numFmtId="37" fontId="35" fillId="0" borderId="0" xfId="0" applyNumberFormat="1" applyFont="1" applyFill="1"/>
    <xf numFmtId="0" fontId="0" fillId="0" borderId="0" xfId="0"/>
    <xf numFmtId="5" fontId="23" fillId="0" borderId="0" xfId="0" applyNumberFormat="1" applyFont="1" applyAlignment="1">
      <alignment horizontal="center"/>
    </xf>
    <xf numFmtId="5" fontId="9" fillId="0" borderId="0" xfId="4" applyNumberFormat="1" applyAlignment="1">
      <alignment horizontal="center"/>
    </xf>
    <xf numFmtId="44" fontId="0" fillId="0" borderId="0" xfId="0" applyNumberFormat="1"/>
    <xf numFmtId="10" fontId="32" fillId="0" borderId="0" xfId="3" applyNumberFormat="1" applyFont="1"/>
    <xf numFmtId="0" fontId="9" fillId="0" borderId="13" xfId="0" applyFont="1" applyBorder="1"/>
    <xf numFmtId="0" fontId="9" fillId="0" borderId="14" xfId="0" applyFont="1" applyBorder="1"/>
    <xf numFmtId="0" fontId="9" fillId="0" borderId="38" xfId="0" applyFont="1" applyBorder="1"/>
    <xf numFmtId="43" fontId="0" fillId="0" borderId="0" xfId="1" applyFont="1" applyBorder="1"/>
    <xf numFmtId="44" fontId="0" fillId="0" borderId="38" xfId="2" applyFont="1" applyBorder="1"/>
    <xf numFmtId="10" fontId="23" fillId="0" borderId="50" xfId="3" applyNumberFormat="1" applyFont="1" applyBorder="1"/>
    <xf numFmtId="0" fontId="7" fillId="0" borderId="0" xfId="93" applyAlignment="1">
      <alignment horizontal="center"/>
    </xf>
    <xf numFmtId="0" fontId="7" fillId="0" borderId="1" xfId="93" applyBorder="1" applyAlignment="1">
      <alignment horizontal="center"/>
    </xf>
    <xf numFmtId="0" fontId="7" fillId="0" borderId="0" xfId="93"/>
    <xf numFmtId="37" fontId="7" fillId="0" borderId="0" xfId="93" applyNumberFormat="1"/>
    <xf numFmtId="169" fontId="23" fillId="0" borderId="0" xfId="2" applyNumberFormat="1" applyFont="1"/>
    <xf numFmtId="0" fontId="0" fillId="0" borderId="0" xfId="0"/>
    <xf numFmtId="0" fontId="0" fillId="0" borderId="0" xfId="0"/>
    <xf numFmtId="0" fontId="179" fillId="0" borderId="0" xfId="85" applyFont="1"/>
    <xf numFmtId="0" fontId="9" fillId="0" borderId="0" xfId="85"/>
    <xf numFmtId="0" fontId="23" fillId="0" borderId="0" xfId="85" applyFont="1"/>
    <xf numFmtId="7" fontId="86" fillId="0" borderId="0" xfId="2" applyNumberFormat="1" applyFont="1"/>
    <xf numFmtId="192" fontId="86" fillId="0" borderId="0" xfId="2" applyNumberFormat="1" applyFont="1"/>
    <xf numFmtId="44" fontId="9" fillId="0" borderId="0" xfId="2" applyFont="1"/>
    <xf numFmtId="7" fontId="9" fillId="0" borderId="0" xfId="2" applyNumberFormat="1" applyFont="1"/>
    <xf numFmtId="7" fontId="9" fillId="0" borderId="0" xfId="85" applyNumberFormat="1"/>
    <xf numFmtId="7" fontId="23" fillId="0" borderId="0" xfId="85" applyNumberFormat="1" applyFont="1"/>
    <xf numFmtId="7" fontId="0" fillId="0" borderId="0" xfId="2" applyNumberFormat="1" applyFont="1"/>
    <xf numFmtId="7" fontId="9" fillId="0" borderId="52" xfId="2" applyNumberFormat="1" applyFont="1" applyBorder="1"/>
    <xf numFmtId="44" fontId="9" fillId="0" borderId="52" xfId="2" applyFont="1" applyBorder="1"/>
    <xf numFmtId="7" fontId="9" fillId="0" borderId="52" xfId="85" applyNumberFormat="1" applyBorder="1"/>
    <xf numFmtId="0" fontId="9" fillId="0" borderId="52" xfId="85" applyBorder="1"/>
    <xf numFmtId="7" fontId="23" fillId="0" borderId="52" xfId="85" applyNumberFormat="1" applyFont="1" applyBorder="1"/>
    <xf numFmtId="171" fontId="23" fillId="0" borderId="53" xfId="3" applyNumberFormat="1" applyFont="1" applyBorder="1"/>
    <xf numFmtId="1" fontId="9" fillId="0" borderId="51" xfId="85" applyNumberFormat="1" applyBorder="1"/>
    <xf numFmtId="9" fontId="23" fillId="0" borderId="0" xfId="0" applyNumberFormat="1" applyFont="1"/>
    <xf numFmtId="0" fontId="0" fillId="0" borderId="0" xfId="0" applyAlignment="1">
      <alignment vertical="top" wrapText="1"/>
    </xf>
    <xf numFmtId="0" fontId="29" fillId="0" borderId="54" xfId="23" applyFont="1" applyBorder="1" applyAlignment="1">
      <alignment horizontal="centerContinuous" vertical="center"/>
    </xf>
    <xf numFmtId="0" fontId="62" fillId="0" borderId="55" xfId="23" applyBorder="1" applyAlignment="1">
      <alignment horizontal="centerContinuous" vertical="center"/>
    </xf>
    <xf numFmtId="0" fontId="62" fillId="0" borderId="56" xfId="23" applyBorder="1" applyAlignment="1">
      <alignment horizontal="centerContinuous" vertical="center"/>
    </xf>
    <xf numFmtId="0" fontId="32" fillId="0" borderId="0" xfId="85" applyFont="1"/>
    <xf numFmtId="0" fontId="62" fillId="0" borderId="57" xfId="23" applyBorder="1"/>
    <xf numFmtId="0" fontId="62" fillId="0" borderId="58" xfId="23" applyBorder="1" applyAlignment="1">
      <alignment horizontal="center"/>
    </xf>
    <xf numFmtId="0" fontId="62" fillId="0" borderId="59" xfId="23" applyBorder="1" applyAlignment="1">
      <alignment horizontal="center"/>
    </xf>
    <xf numFmtId="0" fontId="62" fillId="0" borderId="60" xfId="23" applyBorder="1" applyAlignment="1">
      <alignment horizontal="center"/>
    </xf>
    <xf numFmtId="0" fontId="62" fillId="0" borderId="61" xfId="23" applyBorder="1" applyAlignment="1">
      <alignment vertical="top"/>
    </xf>
    <xf numFmtId="0" fontId="62" fillId="0" borderId="62" xfId="23" applyBorder="1" applyAlignment="1">
      <alignment horizontal="center" vertical="top"/>
    </xf>
    <xf numFmtId="0" fontId="62" fillId="0" borderId="63" xfId="23" applyBorder="1" applyAlignment="1">
      <alignment horizontal="center" vertical="top"/>
    </xf>
    <xf numFmtId="0" fontId="62" fillId="0" borderId="64" xfId="23" applyBorder="1" applyAlignment="1">
      <alignment horizontal="center" vertical="top"/>
    </xf>
    <xf numFmtId="0" fontId="62" fillId="0" borderId="65" xfId="23" applyBorder="1"/>
    <xf numFmtId="186" fontId="180" fillId="0" borderId="66" xfId="23" applyNumberFormat="1" applyFont="1" applyBorder="1"/>
    <xf numFmtId="235" fontId="180" fillId="0" borderId="67" xfId="23" applyNumberFormat="1" applyFont="1" applyBorder="1"/>
    <xf numFmtId="186" fontId="62" fillId="0" borderId="68" xfId="23" applyNumberFormat="1" applyBorder="1"/>
    <xf numFmtId="10" fontId="180" fillId="0" borderId="66" xfId="23" applyNumberFormat="1" applyFont="1" applyBorder="1"/>
    <xf numFmtId="10" fontId="180" fillId="0" borderId="67" xfId="23" applyNumberFormat="1" applyFont="1" applyBorder="1"/>
    <xf numFmtId="10" fontId="62" fillId="0" borderId="68" xfId="23" applyNumberFormat="1" applyBorder="1"/>
    <xf numFmtId="0" fontId="62" fillId="0" borderId="65" xfId="23" applyBorder="1" applyAlignment="1">
      <alignment vertical="top"/>
    </xf>
    <xf numFmtId="186" fontId="180" fillId="0" borderId="66" xfId="23" applyNumberFormat="1" applyFont="1" applyBorder="1" applyAlignment="1">
      <alignment vertical="top"/>
    </xf>
    <xf numFmtId="235" fontId="180" fillId="0" borderId="67" xfId="23" applyNumberFormat="1" applyFont="1" applyBorder="1" applyAlignment="1">
      <alignment vertical="top"/>
    </xf>
    <xf numFmtId="10" fontId="180" fillId="0" borderId="66" xfId="23" applyNumberFormat="1" applyFont="1" applyBorder="1" applyAlignment="1">
      <alignment vertical="top"/>
    </xf>
    <xf numFmtId="10" fontId="180" fillId="0" borderId="67" xfId="23" applyNumberFormat="1" applyFont="1" applyBorder="1" applyAlignment="1">
      <alignment vertical="top"/>
    </xf>
    <xf numFmtId="0" fontId="62" fillId="0" borderId="69" xfId="23" applyBorder="1" applyAlignment="1">
      <alignment vertical="center"/>
    </xf>
    <xf numFmtId="10" fontId="62" fillId="0" borderId="70" xfId="23" applyNumberFormat="1" applyBorder="1" applyAlignment="1">
      <alignment vertical="center"/>
    </xf>
    <xf numFmtId="186" fontId="62" fillId="0" borderId="71" xfId="23" applyNumberFormat="1" applyBorder="1" applyAlignment="1">
      <alignment vertical="center"/>
    </xf>
    <xf numFmtId="186" fontId="62" fillId="0" borderId="72" xfId="23" applyNumberFormat="1" applyBorder="1" applyAlignment="1">
      <alignment vertical="center"/>
    </xf>
    <xf numFmtId="10" fontId="62" fillId="0" borderId="72" xfId="23" applyNumberFormat="1" applyBorder="1" applyAlignment="1">
      <alignment vertical="center"/>
    </xf>
    <xf numFmtId="0" fontId="62" fillId="0" borderId="0" xfId="23" applyAlignment="1">
      <alignment vertical="center"/>
    </xf>
    <xf numFmtId="186" fontId="62" fillId="0" borderId="0" xfId="23" applyNumberFormat="1" applyAlignment="1">
      <alignment vertical="center"/>
    </xf>
    <xf numFmtId="0" fontId="62" fillId="0" borderId="0" xfId="23"/>
    <xf numFmtId="0" fontId="62" fillId="0" borderId="68" xfId="23" applyBorder="1"/>
    <xf numFmtId="236" fontId="180" fillId="0" borderId="68" xfId="23" applyNumberFormat="1" applyFont="1" applyBorder="1" applyAlignment="1">
      <alignment horizontal="right"/>
    </xf>
    <xf numFmtId="0" fontId="62" fillId="0" borderId="0" xfId="23" applyAlignment="1">
      <alignment horizontal="center"/>
    </xf>
    <xf numFmtId="0" fontId="62" fillId="0" borderId="0" xfId="23" applyAlignment="1">
      <alignment horizontal="right"/>
    </xf>
    <xf numFmtId="0" fontId="62" fillId="0" borderId="0" xfId="23" applyAlignment="1">
      <alignment vertical="top"/>
    </xf>
    <xf numFmtId="0" fontId="62" fillId="0" borderId="0" xfId="23" applyAlignment="1">
      <alignment horizontal="right" vertical="top"/>
    </xf>
    <xf numFmtId="186" fontId="62" fillId="0" borderId="68" xfId="23" applyNumberFormat="1" applyBorder="1" applyAlignment="1">
      <alignment vertical="top"/>
    </xf>
    <xf numFmtId="0" fontId="62" fillId="0" borderId="73" xfId="23" applyBorder="1" applyAlignment="1">
      <alignment vertical="center"/>
    </xf>
    <xf numFmtId="186" fontId="29" fillId="0" borderId="72" xfId="23" applyNumberFormat="1" applyFont="1" applyBorder="1" applyAlignment="1">
      <alignment vertical="center"/>
    </xf>
    <xf numFmtId="0" fontId="9" fillId="0" borderId="13" xfId="23" applyFont="1" applyBorder="1"/>
    <xf numFmtId="0" fontId="9" fillId="0" borderId="74" xfId="23" applyFont="1" applyBorder="1"/>
    <xf numFmtId="0" fontId="9" fillId="0" borderId="74" xfId="23" applyFont="1" applyBorder="1" applyAlignment="1">
      <alignment horizontal="center"/>
    </xf>
    <xf numFmtId="0" fontId="9" fillId="0" borderId="14" xfId="23" applyFont="1" applyBorder="1" applyAlignment="1">
      <alignment horizontal="center"/>
    </xf>
    <xf numFmtId="0" fontId="9" fillId="0" borderId="66" xfId="23" applyFont="1" applyBorder="1" applyAlignment="1">
      <alignment horizontal="center"/>
    </xf>
    <xf numFmtId="0" fontId="9" fillId="0" borderId="15" xfId="23" applyFont="1" applyBorder="1" applyAlignment="1">
      <alignment horizontal="center"/>
    </xf>
    <xf numFmtId="0" fontId="9" fillId="0" borderId="75" xfId="23" applyFont="1" applyBorder="1" applyAlignment="1">
      <alignment horizontal="center"/>
    </xf>
    <xf numFmtId="0" fontId="9" fillId="0" borderId="76" xfId="23" applyFont="1" applyBorder="1" applyAlignment="1">
      <alignment horizontal="center"/>
    </xf>
    <xf numFmtId="5" fontId="55" fillId="0" borderId="77" xfId="23" applyNumberFormat="1" applyFont="1" applyBorder="1"/>
    <xf numFmtId="10" fontId="9" fillId="0" borderId="77" xfId="23" applyNumberFormat="1" applyFont="1" applyBorder="1"/>
    <xf numFmtId="0" fontId="9" fillId="0" borderId="57" xfId="23" applyFont="1" applyBorder="1" applyAlignment="1">
      <alignment horizontal="center"/>
    </xf>
    <xf numFmtId="5" fontId="55" fillId="0" borderId="58" xfId="23" applyNumberFormat="1" applyFont="1" applyBorder="1"/>
    <xf numFmtId="186" fontId="9" fillId="0" borderId="58" xfId="23" applyNumberFormat="1" applyFont="1" applyBorder="1"/>
    <xf numFmtId="0" fontId="9" fillId="0" borderId="0" xfId="23" applyFont="1" applyAlignment="1">
      <alignment horizontal="left"/>
    </xf>
    <xf numFmtId="0" fontId="9" fillId="0" borderId="78" xfId="23" applyFont="1" applyBorder="1" applyAlignment="1">
      <alignment horizontal="left"/>
    </xf>
    <xf numFmtId="0" fontId="0" fillId="0" borderId="79" xfId="0" applyBorder="1"/>
    <xf numFmtId="0" fontId="9" fillId="0" borderId="79" xfId="23" applyFont="1" applyBorder="1" applyAlignment="1">
      <alignment horizontal="center"/>
    </xf>
    <xf numFmtId="0" fontId="55" fillId="0" borderId="80" xfId="0" applyFont="1" applyBorder="1"/>
    <xf numFmtId="0" fontId="9" fillId="0" borderId="15" xfId="23" applyFont="1" applyBorder="1" applyAlignment="1">
      <alignment horizontal="left"/>
    </xf>
    <xf numFmtId="186" fontId="23" fillId="0" borderId="37" xfId="3" applyNumberFormat="1" applyFont="1" applyBorder="1"/>
    <xf numFmtId="0" fontId="9" fillId="0" borderId="0" xfId="23" applyFont="1" applyAlignment="1">
      <alignment horizontal="center"/>
    </xf>
    <xf numFmtId="186" fontId="29" fillId="0" borderId="0" xfId="0" applyNumberFormat="1" applyFont="1"/>
    <xf numFmtId="0" fontId="9" fillId="0" borderId="0" xfId="0" quotePrefix="1" applyFont="1" applyFill="1" applyAlignment="1">
      <alignment horizontal="right"/>
    </xf>
    <xf numFmtId="5" fontId="23" fillId="0" borderId="0" xfId="0" applyNumberFormat="1" applyFont="1" applyAlignment="1">
      <alignment horizontal="center"/>
    </xf>
    <xf numFmtId="0" fontId="23" fillId="0" borderId="0" xfId="0" applyFont="1" applyAlignment="1">
      <alignment horizontal="center"/>
    </xf>
    <xf numFmtId="44" fontId="23" fillId="0" borderId="0" xfId="2" applyFont="1" applyFill="1"/>
    <xf numFmtId="10" fontId="0" fillId="0" borderId="0" xfId="0" applyNumberFormat="1" applyFill="1"/>
    <xf numFmtId="10" fontId="23" fillId="0" borderId="0" xfId="0" applyNumberFormat="1" applyFont="1" applyFill="1"/>
    <xf numFmtId="0" fontId="23" fillId="0" borderId="0" xfId="0" applyFont="1" applyFill="1" applyAlignment="1">
      <alignment horizontal="center"/>
    </xf>
    <xf numFmtId="0" fontId="38" fillId="0" borderId="0" xfId="0" applyFont="1" applyFill="1" applyAlignment="1">
      <alignment horizontal="center"/>
    </xf>
    <xf numFmtId="0" fontId="23" fillId="0" borderId="0" xfId="0" applyFont="1" applyFill="1"/>
    <xf numFmtId="7" fontId="23" fillId="0" borderId="0" xfId="0" applyNumberFormat="1" applyFont="1" applyFill="1"/>
    <xf numFmtId="0" fontId="23" fillId="0" borderId="0" xfId="0" applyFont="1" applyFill="1" applyAlignment="1">
      <alignment horizontal="right"/>
    </xf>
    <xf numFmtId="182" fontId="9" fillId="0" borderId="0" xfId="0" applyNumberFormat="1" applyFont="1" applyFill="1" applyAlignment="1">
      <alignment horizontal="right"/>
    </xf>
    <xf numFmtId="183" fontId="23" fillId="0" borderId="0" xfId="0" applyNumberFormat="1" applyFont="1" applyFill="1"/>
    <xf numFmtId="184" fontId="9" fillId="0" borderId="0" xfId="0" applyNumberFormat="1" applyFont="1" applyFill="1" applyAlignment="1">
      <alignment horizontal="right"/>
    </xf>
    <xf numFmtId="0" fontId="23" fillId="0" borderId="0" xfId="0" applyFont="1" applyFill="1" applyBorder="1"/>
    <xf numFmtId="169" fontId="0" fillId="0" borderId="0" xfId="2" applyNumberFormat="1" applyFont="1" applyFill="1"/>
    <xf numFmtId="171" fontId="42" fillId="0" borderId="0" xfId="0" applyNumberFormat="1" applyFont="1" applyFill="1"/>
    <xf numFmtId="164" fontId="9" fillId="0" borderId="0" xfId="0" applyNumberFormat="1" applyFont="1" applyFill="1" applyBorder="1"/>
    <xf numFmtId="0" fontId="0" fillId="0" borderId="0" xfId="0" applyFont="1" applyFill="1" applyAlignment="1">
      <alignment horizontal="center"/>
    </xf>
    <xf numFmtId="3" fontId="0" fillId="0" borderId="2" xfId="0" applyNumberFormat="1" applyFill="1" applyBorder="1"/>
    <xf numFmtId="3" fontId="0" fillId="0" borderId="0" xfId="0" applyNumberFormat="1" applyFill="1" applyBorder="1"/>
    <xf numFmtId="0" fontId="9" fillId="0" borderId="0" xfId="0" applyFont="1" applyFill="1" applyBorder="1"/>
    <xf numFmtId="3" fontId="41" fillId="0" borderId="0" xfId="0" applyNumberFormat="1" applyFont="1" applyFill="1"/>
    <xf numFmtId="3" fontId="42" fillId="0" borderId="0" xfId="0" applyNumberFormat="1" applyFont="1" applyFill="1"/>
    <xf numFmtId="9" fontId="9" fillId="0" borderId="0" xfId="3" applyNumberFormat="1" applyFont="1" applyAlignment="1">
      <alignment horizontal="center"/>
    </xf>
    <xf numFmtId="9" fontId="9" fillId="0" borderId="0" xfId="0" applyNumberFormat="1" applyFont="1" applyAlignment="1">
      <alignment horizontal="center"/>
    </xf>
    <xf numFmtId="5" fontId="14" fillId="0" borderId="1" xfId="0" applyNumberFormat="1" applyFont="1" applyBorder="1"/>
    <xf numFmtId="165" fontId="10" fillId="0" borderId="1" xfId="0" applyNumberFormat="1" applyFont="1" applyBorder="1"/>
    <xf numFmtId="5" fontId="32" fillId="0" borderId="0" xfId="0" applyNumberFormat="1" applyFont="1" applyBorder="1" applyAlignment="1">
      <alignment horizontal="center"/>
    </xf>
    <xf numFmtId="0" fontId="0" fillId="0" borderId="0" xfId="0"/>
    <xf numFmtId="0" fontId="0" fillId="0" borderId="0" xfId="0"/>
    <xf numFmtId="0" fontId="23" fillId="0" borderId="0" xfId="0" applyFont="1" applyAlignment="1">
      <alignment horizontal="center"/>
    </xf>
    <xf numFmtId="192" fontId="9" fillId="0" borderId="0" xfId="2" applyNumberFormat="1" applyFont="1" applyBorder="1"/>
    <xf numFmtId="0" fontId="0" fillId="0" borderId="0" xfId="0"/>
    <xf numFmtId="0" fontId="23" fillId="0" borderId="0" xfId="0" applyFont="1" applyAlignment="1">
      <alignment horizontal="center"/>
    </xf>
    <xf numFmtId="166" fontId="86" fillId="0" borderId="0" xfId="2" applyNumberFormat="1" applyFont="1"/>
    <xf numFmtId="0" fontId="90" fillId="0" borderId="0" xfId="0" applyFont="1" applyAlignment="1">
      <alignment horizontal="left"/>
    </xf>
    <xf numFmtId="0" fontId="29" fillId="0" borderId="0" xfId="0" applyFont="1" applyAlignment="1">
      <alignment horizontal="center"/>
    </xf>
    <xf numFmtId="0" fontId="62" fillId="0" borderId="0" xfId="0" applyFont="1"/>
    <xf numFmtId="170" fontId="55" fillId="83" borderId="0" xfId="0" applyNumberFormat="1" applyFont="1" applyFill="1"/>
    <xf numFmtId="165" fontId="55" fillId="83" borderId="0" xfId="0" applyNumberFormat="1" applyFont="1" applyFill="1"/>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Border="1" applyAlignment="1">
      <alignment horizontal="center"/>
    </xf>
    <xf numFmtId="0" fontId="9"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center"/>
    </xf>
    <xf numFmtId="0" fontId="26" fillId="0" borderId="0" xfId="0" applyFont="1" applyAlignment="1">
      <alignment horizontal="center"/>
    </xf>
    <xf numFmtId="0" fontId="169" fillId="77" borderId="39" xfId="0" applyFont="1" applyFill="1" applyBorder="1" applyAlignment="1">
      <alignment horizontal="left" vertical="top"/>
    </xf>
    <xf numFmtId="0" fontId="0" fillId="77" borderId="39" xfId="0" applyFill="1" applyBorder="1"/>
    <xf numFmtId="0" fontId="172" fillId="79" borderId="43" xfId="0" applyFont="1" applyFill="1" applyBorder="1" applyAlignment="1">
      <alignment horizontal="left" vertical="top"/>
    </xf>
    <xf numFmtId="0" fontId="0" fillId="79" borderId="44" xfId="0" applyFill="1" applyBorder="1"/>
    <xf numFmtId="0" fontId="0" fillId="79" borderId="45" xfId="0" applyFill="1" applyBorder="1"/>
    <xf numFmtId="0" fontId="0" fillId="77" borderId="42" xfId="0" applyFill="1" applyBorder="1"/>
    <xf numFmtId="0" fontId="169" fillId="77" borderId="47" xfId="0" applyFont="1" applyFill="1" applyBorder="1" applyAlignment="1">
      <alignment horizontal="left" vertical="top"/>
    </xf>
  </cellXfs>
  <cellStyles count="43230">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36" xfId="43229" xr:uid="{2908A2B6-3DCD-4055-B24A-FD28AE8ED07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rmal_2006 Sch 25 Data" xfId="43228" xr:uid="{0F6236D4-519A-4728-A576-BE052B6001A2}"/>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72">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71"/>
      <tableStyleElement type="headerRow" dxfId="70"/>
    </tableStyle>
    <tableStyle name="Table Style 2" pivot="0" count="3" xr9:uid="{00000000-0011-0000-FFFF-FFFF01000000}">
      <tableStyleElement type="wholeTable" dxfId="69"/>
      <tableStyleElement type="headerRow" dxfId="68"/>
      <tableStyleElement type="totalRow" dxfId="67"/>
    </tableStyle>
  </tableStyles>
  <colors>
    <mruColors>
      <color rgb="FF0000FF"/>
      <color rgb="FFFFFF99"/>
      <color rgb="FFFFFF66"/>
      <color rgb="FFFAF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6</xdr:row>
      <xdr:rowOff>28575</xdr:rowOff>
    </xdr:from>
    <xdr:to>
      <xdr:col>15</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76</xdr:row>
      <xdr:rowOff>76200</xdr:rowOff>
    </xdr:from>
    <xdr:to>
      <xdr:col>14</xdr:col>
      <xdr:colOff>352425</xdr:colOff>
      <xdr:row>79</xdr:row>
      <xdr:rowOff>104775</xdr:rowOff>
    </xdr:to>
    <xdr:sp macro="[0]!PercentageRateIncreaseCalc" textlink="">
      <xdr:nvSpPr>
        <xdr:cNvPr id="2" name="Rectangle: Rounded Corners 1">
          <a:extLst>
            <a:ext uri="{FF2B5EF4-FFF2-40B4-BE49-F238E27FC236}">
              <a16:creationId xmlns:a16="http://schemas.microsoft.com/office/drawing/2014/main" id="{7D18C819-D562-4A3E-927B-78B75E66D76D}"/>
            </a:ext>
          </a:extLst>
        </xdr:cNvPr>
        <xdr:cNvSpPr/>
      </xdr:nvSpPr>
      <xdr:spPr>
        <a:xfrm>
          <a:off x="13030200" y="12439650"/>
          <a:ext cx="15621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Run % Rate Increase Goal Seek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U311"/>
  <sheetViews>
    <sheetView showGridLines="0" view="pageBreakPreview" zoomScale="115" zoomScaleNormal="115" zoomScaleSheetLayoutView="115" workbookViewId="0">
      <pane ySplit="5" topLeftCell="A183" activePane="bottomLeft" state="frozen"/>
      <selection activeCell="G27" sqref="G27"/>
      <selection pane="bottomLeft" activeCell="Q9" sqref="Q9"/>
    </sheetView>
  </sheetViews>
  <sheetFormatPr defaultColWidth="10.7109375" defaultRowHeight="11.25"/>
  <cols>
    <col min="1" max="1" width="23.5703125" style="1" bestFit="1" customWidth="1"/>
    <col min="2" max="2" width="25.7109375" style="5" customWidth="1"/>
    <col min="3" max="4" width="11.7109375" style="5" customWidth="1"/>
    <col min="5" max="6" width="11.5703125" style="5" customWidth="1"/>
    <col min="7" max="9" width="11.7109375" style="5" customWidth="1"/>
    <col min="10" max="10" width="13" style="5" customWidth="1"/>
    <col min="11" max="11" width="11.28515625" style="5" customWidth="1"/>
    <col min="12" max="12" width="11.7109375" style="5" customWidth="1"/>
    <col min="13" max="13" width="10.7109375" style="5" customWidth="1"/>
    <col min="14" max="14" width="3.7109375" style="5" customWidth="1"/>
    <col min="15" max="15" width="13.28515625" style="5" customWidth="1"/>
    <col min="16" max="16" width="3.7109375" style="5" customWidth="1"/>
    <col min="17" max="18" width="10.7109375" style="5" customWidth="1"/>
    <col min="19" max="19" width="35.7109375" style="5" customWidth="1"/>
    <col min="20" max="16384" width="10.7109375" style="5"/>
  </cols>
  <sheetData>
    <row r="2" spans="1:21" ht="22.5" customHeight="1">
      <c r="B2" s="282" t="str">
        <f>IF(Base1_Billing2=2,"BILLED","")</f>
        <v/>
      </c>
    </row>
    <row r="4" spans="1:21" s="2" customFormat="1">
      <c r="A4" s="1" t="s">
        <v>0</v>
      </c>
      <c r="C4" s="2" t="s">
        <v>1</v>
      </c>
      <c r="D4" s="2" t="s">
        <v>2</v>
      </c>
      <c r="E4" s="2" t="s">
        <v>3</v>
      </c>
      <c r="F4" s="2" t="s">
        <v>3</v>
      </c>
      <c r="G4" s="2" t="s">
        <v>4</v>
      </c>
      <c r="H4" s="2" t="s">
        <v>4</v>
      </c>
      <c r="I4" s="2" t="s">
        <v>5</v>
      </c>
      <c r="J4" s="2" t="s">
        <v>5</v>
      </c>
      <c r="K4" s="2" t="s">
        <v>6</v>
      </c>
      <c r="L4" s="2" t="s">
        <v>7</v>
      </c>
    </row>
    <row r="5" spans="1:21" s="2" customFormat="1">
      <c r="A5" s="1" t="s">
        <v>8</v>
      </c>
      <c r="C5" s="3" t="s">
        <v>9</v>
      </c>
      <c r="D5" s="3" t="s">
        <v>10</v>
      </c>
      <c r="E5" s="3" t="s">
        <v>11</v>
      </c>
      <c r="F5" s="3" t="s">
        <v>749</v>
      </c>
      <c r="G5" s="3" t="s">
        <v>12</v>
      </c>
      <c r="H5" s="3" t="s">
        <v>750</v>
      </c>
      <c r="I5" s="3" t="s">
        <v>13</v>
      </c>
      <c r="J5" s="3" t="s">
        <v>751</v>
      </c>
      <c r="K5" s="3" t="s">
        <v>14</v>
      </c>
      <c r="L5" s="3" t="s">
        <v>15</v>
      </c>
      <c r="S5" s="107" t="s">
        <v>199</v>
      </c>
    </row>
    <row r="6" spans="1:21" ht="11.25" customHeight="1">
      <c r="B6" s="4" t="s">
        <v>16</v>
      </c>
      <c r="N6" s="708"/>
      <c r="O6" s="709" t="s">
        <v>201</v>
      </c>
      <c r="P6" s="708"/>
      <c r="Q6" s="708"/>
      <c r="R6" s="710"/>
      <c r="S6" s="871" t="str">
        <f>"AVISTA UTILITIES
WASHINGTON ELECTRIC
PRO FORMA REVENUE UNDER PRESENT AND PROPOSED "&amp;Q9&amp;" RATES
12 MONTHS ENDED JUNE 30, 2023"</f>
        <v>AVISTA UTILITIES
WASHINGTON ELECTRIC
PRO FORMA REVENUE UNDER PRESENT AND PROPOSED BASE TARIFF RATES
12 MONTHS ENDED JUNE 30, 2023</v>
      </c>
      <c r="T6" s="871"/>
      <c r="U6" s="871"/>
    </row>
    <row r="7" spans="1:21">
      <c r="B7" s="6" t="s">
        <v>17</v>
      </c>
      <c r="N7" s="711" t="s">
        <v>195</v>
      </c>
      <c r="O7" s="710" t="s">
        <v>328</v>
      </c>
      <c r="P7" s="708"/>
      <c r="Q7" s="708"/>
      <c r="R7" s="710"/>
      <c r="S7" s="871"/>
      <c r="T7" s="871"/>
      <c r="U7" s="871"/>
    </row>
    <row r="8" spans="1:21">
      <c r="B8" s="5" t="s">
        <v>18</v>
      </c>
      <c r="C8" s="12"/>
      <c r="D8" s="12">
        <f>'Bill Determ'!$B$9</f>
        <v>1718630296.2747939</v>
      </c>
      <c r="E8" s="12">
        <f>'Bill Determ'!$B$17</f>
        <v>466372572.30339468</v>
      </c>
      <c r="F8" s="12">
        <f>'Bill Determ'!$B$27</f>
        <v>92517.214073099996</v>
      </c>
      <c r="G8" s="12">
        <f>'Bill Determ'!$B$38</f>
        <v>1181273588.82234</v>
      </c>
      <c r="H8" s="12">
        <f>'Bill Determ'!$B$49</f>
        <v>109802.19577130998</v>
      </c>
      <c r="I8" s="12">
        <f>'Bill Determ'!$B$58</f>
        <v>126000000</v>
      </c>
      <c r="J8" s="12">
        <f>'Bill Determ'!$B$62</f>
        <v>6000000</v>
      </c>
      <c r="K8" s="12">
        <f>SUM('Bill Determ'!$B$68:$C$68)</f>
        <v>47759509.659440003</v>
      </c>
      <c r="L8" s="12"/>
      <c r="N8" s="710"/>
      <c r="O8" s="708" t="s">
        <v>194</v>
      </c>
      <c r="P8" s="710"/>
      <c r="Q8" s="712">
        <v>1</v>
      </c>
      <c r="R8" s="710"/>
      <c r="S8" s="871"/>
      <c r="T8" s="871"/>
      <c r="U8" s="871"/>
    </row>
    <row r="9" spans="1:21">
      <c r="B9" s="5" t="s">
        <v>19</v>
      </c>
      <c r="C9" s="12"/>
      <c r="D9" s="12">
        <f>'Bill Determ'!$C$9</f>
        <v>577659306.88565063</v>
      </c>
      <c r="E9" s="12">
        <f>'Bill Determ'!$C$17</f>
        <v>234380452.38748533</v>
      </c>
      <c r="F9" s="12">
        <f>'Bill Determ'!$C$27</f>
        <v>278100.15592689998</v>
      </c>
      <c r="G9" s="12">
        <f>'Bill Determ'!$C$38</f>
        <v>144121754.80867997</v>
      </c>
      <c r="H9" s="12">
        <f>'Bill Determ'!$C$49</f>
        <v>341841.23422868992</v>
      </c>
      <c r="I9" s="12">
        <f>'Bill Determ'!$C$58</f>
        <v>484064827.46600002</v>
      </c>
      <c r="J9" s="12">
        <f>'Bill Determ'!$C$62</f>
        <v>66000000</v>
      </c>
      <c r="K9" s="12">
        <f>'Bill Determ'!$D$68</f>
        <v>99721955.801750004</v>
      </c>
      <c r="L9" s="12"/>
      <c r="N9" s="711" t="s">
        <v>196</v>
      </c>
      <c r="O9" s="710" t="s">
        <v>329</v>
      </c>
      <c r="P9" s="710"/>
      <c r="Q9" s="710" t="str">
        <f>CHOOSE(Base1_Billing2,O7,O9)</f>
        <v>BASE TARIFF</v>
      </c>
      <c r="R9" s="710"/>
      <c r="S9" s="871"/>
      <c r="T9" s="871"/>
      <c r="U9" s="871"/>
    </row>
    <row r="10" spans="1:21">
      <c r="B10" s="5" t="s">
        <v>20</v>
      </c>
      <c r="C10" s="12"/>
      <c r="D10" s="12">
        <f>'Bill Determ'!$D$9</f>
        <v>374095139.33183551</v>
      </c>
      <c r="E10" s="12"/>
      <c r="F10" s="12"/>
      <c r="G10" s="12"/>
      <c r="H10" s="12"/>
      <c r="I10" s="12">
        <f>'Bill Determ'!$D$58</f>
        <v>17780158.700999975</v>
      </c>
      <c r="J10" s="12">
        <f>'Bill Determ'!$D$62</f>
        <v>357788232</v>
      </c>
      <c r="K10" s="12"/>
      <c r="L10" s="12"/>
      <c r="N10" s="710"/>
      <c r="O10" s="710"/>
      <c r="P10" s="710"/>
      <c r="Q10" s="710" t="str">
        <f>CHOOSE(Base1_Billing2,"Base","Billing")</f>
        <v>Base</v>
      </c>
      <c r="R10" s="710"/>
      <c r="S10" s="871"/>
      <c r="T10" s="871"/>
      <c r="U10" s="871"/>
    </row>
    <row r="11" spans="1:21">
      <c r="B11" s="5" t="s">
        <v>21</v>
      </c>
      <c r="C11" s="12"/>
      <c r="D11" s="12"/>
      <c r="E11" s="12"/>
      <c r="F11" s="12"/>
      <c r="G11" s="12"/>
      <c r="H11" s="12"/>
      <c r="I11" s="12"/>
      <c r="J11" s="12"/>
      <c r="K11" s="12"/>
      <c r="L11" s="12"/>
      <c r="N11" s="710"/>
      <c r="O11" s="710"/>
      <c r="P11" s="710"/>
      <c r="Q11" s="710"/>
      <c r="R11" s="710"/>
      <c r="S11" s="871"/>
      <c r="T11" s="871"/>
      <c r="U11" s="871"/>
    </row>
    <row r="12" spans="1:21">
      <c r="B12" s="5" t="s">
        <v>22</v>
      </c>
      <c r="C12" s="97"/>
      <c r="D12" s="97"/>
      <c r="E12" s="97"/>
      <c r="F12" s="97"/>
      <c r="G12" s="97"/>
      <c r="H12" s="97"/>
      <c r="I12" s="97"/>
      <c r="J12" s="97"/>
      <c r="K12" s="97"/>
      <c r="L12" s="240">
        <f>'REVRUNS 12ME0623'!P343</f>
        <v>16029420.157809999</v>
      </c>
      <c r="Q12" s="12"/>
    </row>
    <row r="13" spans="1:21">
      <c r="C13" s="12"/>
      <c r="D13" s="12"/>
      <c r="E13" s="12"/>
      <c r="F13" s="12"/>
      <c r="G13" s="12"/>
      <c r="H13" s="12"/>
      <c r="I13" s="12"/>
      <c r="J13" s="12"/>
      <c r="K13" s="12"/>
      <c r="L13" s="98"/>
      <c r="Q13" s="11"/>
    </row>
    <row r="14" spans="1:21">
      <c r="B14" s="5" t="s">
        <v>23</v>
      </c>
      <c r="C14" s="12">
        <f>SUM(D14:L14)</f>
        <v>5918499475.4001799</v>
      </c>
      <c r="D14" s="12">
        <f t="shared" ref="D14:L14" si="0">SUM(D8:D12)</f>
        <v>2670384742.49228</v>
      </c>
      <c r="E14" s="12">
        <f t="shared" si="0"/>
        <v>700753024.69088006</v>
      </c>
      <c r="F14" s="12">
        <f t="shared" ref="F14" si="1">SUM(F8:F12)</f>
        <v>370617.37</v>
      </c>
      <c r="G14" s="12">
        <f t="shared" si="0"/>
        <v>1325395343.6310201</v>
      </c>
      <c r="H14" s="12">
        <f t="shared" ref="H14" si="2">SUM(H8:H12)</f>
        <v>451643.42999999993</v>
      </c>
      <c r="I14" s="12">
        <f>SUM(I8:I12)</f>
        <v>627844986.16700006</v>
      </c>
      <c r="J14" s="12">
        <f t="shared" ref="J14" si="3">SUM(J8:J12)</f>
        <v>429788232</v>
      </c>
      <c r="K14" s="12">
        <f t="shared" si="0"/>
        <v>147481465.46119002</v>
      </c>
      <c r="L14" s="12">
        <f t="shared" si="0"/>
        <v>16029420.157809999</v>
      </c>
    </row>
    <row r="15" spans="1:21" s="8" customFormat="1">
      <c r="A15" s="1"/>
      <c r="B15" s="84"/>
      <c r="C15" s="12"/>
      <c r="D15" s="12"/>
      <c r="E15" s="12"/>
      <c r="F15" s="12"/>
      <c r="G15" s="12"/>
      <c r="H15" s="12"/>
      <c r="I15" s="12"/>
      <c r="J15" s="12"/>
      <c r="K15" s="12"/>
      <c r="L15" s="12"/>
    </row>
    <row r="16" spans="1:21">
      <c r="C16" s="100"/>
      <c r="D16" s="100"/>
      <c r="E16" s="100"/>
      <c r="F16" s="100"/>
      <c r="G16" s="100"/>
      <c r="H16" s="100"/>
      <c r="I16" s="100"/>
      <c r="J16" s="100"/>
      <c r="K16" s="100"/>
      <c r="L16" s="100"/>
    </row>
    <row r="17" spans="1:15">
      <c r="B17" s="5" t="s">
        <v>23</v>
      </c>
      <c r="C17" s="12">
        <f>SUM(D17:L17)</f>
        <v>5918499475.4001799</v>
      </c>
      <c r="D17" s="12">
        <f t="shared" ref="D17:L17" si="4">D14+D15</f>
        <v>2670384742.49228</v>
      </c>
      <c r="E17" s="12">
        <f t="shared" si="4"/>
        <v>700753024.69088006</v>
      </c>
      <c r="F17" s="12">
        <f t="shared" ref="F17" si="5">F14+F15</f>
        <v>370617.37</v>
      </c>
      <c r="G17" s="12">
        <f t="shared" si="4"/>
        <v>1325395343.6310201</v>
      </c>
      <c r="H17" s="12">
        <f t="shared" ref="H17" si="6">H14+H15</f>
        <v>451643.42999999993</v>
      </c>
      <c r="I17" s="12">
        <f t="shared" si="4"/>
        <v>627844986.16700006</v>
      </c>
      <c r="J17" s="12">
        <f t="shared" ref="J17" si="7">J14+J15</f>
        <v>429788232</v>
      </c>
      <c r="K17" s="12">
        <f t="shared" si="4"/>
        <v>147481465.46119002</v>
      </c>
      <c r="L17" s="12">
        <f t="shared" si="4"/>
        <v>16029420.157809999</v>
      </c>
    </row>
    <row r="18" spans="1:15">
      <c r="B18" s="5" t="s">
        <v>24</v>
      </c>
      <c r="C18" s="12">
        <f>SUM(D18:L18)</f>
        <v>0</v>
      </c>
      <c r="D18" s="12">
        <f>'Bill Determ'!$E$11</f>
        <v>0</v>
      </c>
      <c r="E18" s="12">
        <f>'Bill Determ'!$D$21</f>
        <v>0</v>
      </c>
      <c r="F18" s="12">
        <f>'Bill Determ'!$D$21</f>
        <v>0</v>
      </c>
      <c r="G18" s="12">
        <f>'Bill Determ'!$D$43</f>
        <v>0</v>
      </c>
      <c r="H18" s="12">
        <f>'Bill Determ'!$D$43</f>
        <v>0</v>
      </c>
      <c r="I18" s="103">
        <v>0</v>
      </c>
      <c r="J18" s="103">
        <v>0</v>
      </c>
      <c r="K18" s="12">
        <f>'Bill Determ'!$E$70</f>
        <v>0</v>
      </c>
      <c r="L18" s="103">
        <v>0</v>
      </c>
    </row>
    <row r="19" spans="1:15">
      <c r="C19" s="100"/>
      <c r="D19" s="100"/>
      <c r="E19" s="100"/>
      <c r="F19" s="100"/>
      <c r="G19" s="100"/>
      <c r="H19" s="100"/>
      <c r="I19" s="100"/>
      <c r="J19" s="100"/>
      <c r="K19" s="100"/>
      <c r="L19" s="100"/>
    </row>
    <row r="20" spans="1:15">
      <c r="B20" s="5" t="s">
        <v>25</v>
      </c>
      <c r="C20" s="12">
        <f>SUM(D20:L20)</f>
        <v>5918499475.4001799</v>
      </c>
      <c r="D20" s="12">
        <f t="shared" ref="D20:L20" si="8">D17+D18</f>
        <v>2670384742.49228</v>
      </c>
      <c r="E20" s="12">
        <f t="shared" si="8"/>
        <v>700753024.69088006</v>
      </c>
      <c r="F20" s="12">
        <f t="shared" ref="F20" si="9">F17+F18</f>
        <v>370617.37</v>
      </c>
      <c r="G20" s="12">
        <f t="shared" si="8"/>
        <v>1325395343.6310201</v>
      </c>
      <c r="H20" s="12">
        <f t="shared" ref="H20" si="10">H17+H18</f>
        <v>451643.42999999993</v>
      </c>
      <c r="I20" s="12">
        <f t="shared" si="8"/>
        <v>627844986.16700006</v>
      </c>
      <c r="J20" s="12">
        <f t="shared" ref="J20" si="11">J17+J18</f>
        <v>429788232</v>
      </c>
      <c r="K20" s="12">
        <f t="shared" si="8"/>
        <v>147481465.46119002</v>
      </c>
      <c r="L20" s="12">
        <f t="shared" si="8"/>
        <v>16029420.157809999</v>
      </c>
    </row>
    <row r="21" spans="1:15" s="8" customFormat="1">
      <c r="A21" s="1"/>
      <c r="B21" s="84" t="s">
        <v>26</v>
      </c>
      <c r="C21" s="101">
        <f>SUM(D21:L21)</f>
        <v>-154699972</v>
      </c>
      <c r="D21" s="101">
        <f t="shared" ref="D21:L21" si="12">D142+D145</f>
        <v>-83426247</v>
      </c>
      <c r="E21" s="101">
        <f t="shared" si="12"/>
        <v>-23053465</v>
      </c>
      <c r="F21" s="101">
        <f>F142+F145</f>
        <v>0</v>
      </c>
      <c r="G21" s="101">
        <f t="shared" si="12"/>
        <v>-41470151</v>
      </c>
      <c r="H21" s="101">
        <f t="shared" ref="H21" si="13">H142+H145</f>
        <v>0</v>
      </c>
      <c r="I21" s="189">
        <f t="shared" si="12"/>
        <v>0</v>
      </c>
      <c r="J21" s="189">
        <f t="shared" ref="J21" si="14">J142+J145</f>
        <v>0</v>
      </c>
      <c r="K21" s="101">
        <f t="shared" si="12"/>
        <v>-6750109</v>
      </c>
      <c r="L21" s="101">
        <f t="shared" si="12"/>
        <v>0</v>
      </c>
    </row>
    <row r="22" spans="1:15">
      <c r="C22" s="100"/>
      <c r="D22" s="100"/>
      <c r="E22" s="100"/>
      <c r="F22" s="100"/>
      <c r="G22" s="100"/>
      <c r="H22" s="100"/>
      <c r="I22" s="100"/>
      <c r="J22" s="100"/>
      <c r="K22" s="100"/>
      <c r="L22" s="100"/>
      <c r="O22" s="5" t="s">
        <v>1</v>
      </c>
    </row>
    <row r="23" spans="1:15">
      <c r="B23" s="5" t="s">
        <v>27</v>
      </c>
      <c r="C23" s="12">
        <f>IF(ROUND(SUM(D23:L23),3)&lt;&gt;ROUND(SUM(C20:C21),3),#VALUE!,SUM(D23:L23))</f>
        <v>5763799503.4001799</v>
      </c>
      <c r="D23" s="12">
        <f t="shared" ref="D23:L23" si="15">D20+D21</f>
        <v>2586958495.49228</v>
      </c>
      <c r="E23" s="12">
        <f t="shared" si="15"/>
        <v>677699559.69088006</v>
      </c>
      <c r="F23" s="12">
        <f t="shared" ref="F23" si="16">F20+F21</f>
        <v>370617.37</v>
      </c>
      <c r="G23" s="12">
        <f t="shared" si="15"/>
        <v>1283925192.6310201</v>
      </c>
      <c r="H23" s="12">
        <f t="shared" ref="H23" si="17">H20+H21</f>
        <v>451643.42999999993</v>
      </c>
      <c r="I23" s="12">
        <f t="shared" si="15"/>
        <v>627844986.16700006</v>
      </c>
      <c r="J23" s="12">
        <f t="shared" ref="J23" si="18">J20+J21</f>
        <v>429788232</v>
      </c>
      <c r="K23" s="12">
        <f t="shared" si="15"/>
        <v>140731356.46119002</v>
      </c>
      <c r="L23" s="12">
        <f t="shared" si="15"/>
        <v>16029420.157809999</v>
      </c>
    </row>
    <row r="24" spans="1:15">
      <c r="C24" s="12"/>
      <c r="D24" s="12"/>
      <c r="E24" s="12"/>
      <c r="F24" s="12"/>
      <c r="G24" s="12"/>
      <c r="H24" s="12"/>
      <c r="I24" s="12"/>
      <c r="J24" s="12"/>
      <c r="K24" s="12"/>
      <c r="L24" s="12"/>
    </row>
    <row r="25" spans="1:15">
      <c r="B25" s="5" t="s">
        <v>28</v>
      </c>
      <c r="C25" s="12"/>
      <c r="D25" s="12">
        <f>'Bill Determ'!$F$9</f>
        <v>2738172</v>
      </c>
      <c r="E25" s="12">
        <f>'Bill Determ'!$F$17</f>
        <v>416737</v>
      </c>
      <c r="F25" s="12">
        <f>'Bill Determ'!$F$27</f>
        <v>152</v>
      </c>
      <c r="G25" s="12">
        <f>'Bill Determ'!$F$38</f>
        <v>20410</v>
      </c>
      <c r="H25" s="12">
        <f>'Bill Determ'!$F$49</f>
        <v>37</v>
      </c>
      <c r="I25" s="12">
        <f>'Bill Determ'!$G$58</f>
        <v>252</v>
      </c>
      <c r="J25" s="12">
        <f>'Bill Determ'!$G$62</f>
        <v>12</v>
      </c>
      <c r="K25" s="12">
        <f>'Bill Determ'!$F$66</f>
        <v>30627</v>
      </c>
      <c r="L25" s="12"/>
    </row>
    <row r="26" spans="1:15">
      <c r="B26" s="5" t="s">
        <v>29</v>
      </c>
      <c r="C26" s="12"/>
      <c r="D26" s="12"/>
      <c r="E26" s="12"/>
      <c r="F26" s="12"/>
      <c r="G26" s="12"/>
      <c r="H26" s="12"/>
      <c r="I26" s="12"/>
      <c r="J26" s="12"/>
      <c r="K26" s="12"/>
      <c r="L26" s="12"/>
    </row>
    <row r="27" spans="1:15">
      <c r="B27" s="5" t="s">
        <v>30</v>
      </c>
      <c r="C27" s="12"/>
      <c r="D27" s="12"/>
      <c r="E27" s="12">
        <f>'Bill Determ'!$E$17</f>
        <v>566912.83238095231</v>
      </c>
      <c r="F27" s="12">
        <f>'Bill Determ'!$E$27</f>
        <v>0</v>
      </c>
      <c r="G27" s="12">
        <f>'Bill Determ'!$E$38</f>
        <v>2600000.3744761907</v>
      </c>
      <c r="H27" s="12">
        <f>'Bill Determ'!$E$49</f>
        <v>0</v>
      </c>
      <c r="I27" s="12">
        <f>'Bill Determ'!$F$58+'Bill Determ'!F59</f>
        <v>600031.76899999997</v>
      </c>
      <c r="J27" s="12">
        <f>'Bill Determ'!$F$62</f>
        <v>709647.84</v>
      </c>
      <c r="K27" s="12"/>
      <c r="L27" s="12"/>
    </row>
    <row r="28" spans="1:15">
      <c r="C28" s="7"/>
      <c r="D28" s="7"/>
      <c r="E28" s="7"/>
      <c r="F28" s="7"/>
      <c r="G28" s="7"/>
      <c r="H28" s="7"/>
      <c r="I28" s="7"/>
      <c r="J28" s="7"/>
      <c r="K28" s="7"/>
      <c r="L28" s="7"/>
    </row>
    <row r="29" spans="1:15" ht="12.75">
      <c r="B29" s="4" t="s">
        <v>31</v>
      </c>
    </row>
    <row r="30" spans="1:15" s="14" customFormat="1">
      <c r="A30" s="13"/>
      <c r="B30" s="6" t="s">
        <v>17</v>
      </c>
    </row>
    <row r="31" spans="1:15">
      <c r="B31" s="5" t="s">
        <v>18</v>
      </c>
      <c r="C31" s="12"/>
      <c r="D31" s="12">
        <f>D8</f>
        <v>1718630296.2747939</v>
      </c>
      <c r="E31" s="12">
        <f t="shared" ref="E31:L31" si="19">E8</f>
        <v>466372572.30339468</v>
      </c>
      <c r="F31" s="12">
        <f t="shared" ref="F31" si="20">F8</f>
        <v>92517.214073099996</v>
      </c>
      <c r="G31" s="12">
        <f t="shared" si="19"/>
        <v>1181273588.82234</v>
      </c>
      <c r="H31" s="12">
        <f t="shared" ref="H31" si="21">H8</f>
        <v>109802.19577130998</v>
      </c>
      <c r="I31" s="12">
        <f t="shared" si="19"/>
        <v>126000000</v>
      </c>
      <c r="J31" s="12">
        <f>J8</f>
        <v>6000000</v>
      </c>
      <c r="K31" s="12">
        <f t="shared" si="19"/>
        <v>47759509.659440003</v>
      </c>
      <c r="L31" s="12">
        <f t="shared" si="19"/>
        <v>0</v>
      </c>
    </row>
    <row r="32" spans="1:15">
      <c r="B32" s="5" t="s">
        <v>19</v>
      </c>
      <c r="C32" s="12"/>
      <c r="D32" s="12">
        <f t="shared" ref="D32:L35" si="22">D9</f>
        <v>577659306.88565063</v>
      </c>
      <c r="E32" s="12">
        <f t="shared" si="22"/>
        <v>234380452.38748533</v>
      </c>
      <c r="F32" s="12">
        <f t="shared" ref="F32" si="23">F9</f>
        <v>278100.15592689998</v>
      </c>
      <c r="G32" s="12">
        <f t="shared" si="22"/>
        <v>144121754.80867997</v>
      </c>
      <c r="H32" s="12">
        <f t="shared" ref="H32" si="24">H9</f>
        <v>341841.23422868992</v>
      </c>
      <c r="I32" s="12">
        <f>'Bill Determ'!$C$58</f>
        <v>484064827.46600002</v>
      </c>
      <c r="J32" s="12">
        <f>'Bill Determ'!$C$62</f>
        <v>66000000</v>
      </c>
      <c r="K32" s="12">
        <f t="shared" si="22"/>
        <v>99721955.801750004</v>
      </c>
      <c r="L32" s="12">
        <f t="shared" si="22"/>
        <v>0</v>
      </c>
    </row>
    <row r="33" spans="1:12">
      <c r="B33" s="5" t="s">
        <v>20</v>
      </c>
      <c r="C33" s="12"/>
      <c r="D33" s="12">
        <f t="shared" si="22"/>
        <v>374095139.33183551</v>
      </c>
      <c r="E33" s="12">
        <f t="shared" si="22"/>
        <v>0</v>
      </c>
      <c r="F33" s="12">
        <f t="shared" ref="F33" si="25">F10</f>
        <v>0</v>
      </c>
      <c r="G33" s="12">
        <f t="shared" si="22"/>
        <v>0</v>
      </c>
      <c r="H33" s="12">
        <f t="shared" ref="H33" si="26">H10</f>
        <v>0</v>
      </c>
      <c r="I33" s="12">
        <f>'Bill Determ'!$D$58</f>
        <v>17780158.700999975</v>
      </c>
      <c r="J33" s="12">
        <f>'Bill Determ'!$D$62</f>
        <v>357788232</v>
      </c>
      <c r="K33" s="12">
        <f t="shared" si="22"/>
        <v>0</v>
      </c>
      <c r="L33" s="12">
        <f t="shared" si="22"/>
        <v>0</v>
      </c>
    </row>
    <row r="34" spans="1:12">
      <c r="B34" s="5" t="s">
        <v>21</v>
      </c>
      <c r="C34" s="12"/>
      <c r="D34" s="12">
        <f t="shared" si="22"/>
        <v>0</v>
      </c>
      <c r="E34" s="12">
        <f t="shared" si="22"/>
        <v>0</v>
      </c>
      <c r="F34" s="12">
        <f t="shared" ref="F34" si="27">F11</f>
        <v>0</v>
      </c>
      <c r="G34" s="12">
        <f t="shared" si="22"/>
        <v>0</v>
      </c>
      <c r="H34" s="12">
        <f t="shared" ref="H34" si="28">H11</f>
        <v>0</v>
      </c>
      <c r="I34" s="12">
        <f t="shared" si="22"/>
        <v>0</v>
      </c>
      <c r="J34" s="12">
        <f t="shared" ref="J34" si="29">J11</f>
        <v>0</v>
      </c>
      <c r="K34" s="12">
        <f t="shared" si="22"/>
        <v>0</v>
      </c>
      <c r="L34" s="12">
        <f t="shared" si="22"/>
        <v>0</v>
      </c>
    </row>
    <row r="35" spans="1:12">
      <c r="B35" s="5" t="s">
        <v>22</v>
      </c>
      <c r="C35" s="99"/>
      <c r="D35" s="12">
        <f t="shared" si="22"/>
        <v>0</v>
      </c>
      <c r="E35" s="12">
        <f t="shared" si="22"/>
        <v>0</v>
      </c>
      <c r="F35" s="12">
        <f t="shared" ref="F35" si="30">F12</f>
        <v>0</v>
      </c>
      <c r="G35" s="12">
        <f t="shared" si="22"/>
        <v>0</v>
      </c>
      <c r="H35" s="12">
        <f t="shared" ref="H35" si="31">H12</f>
        <v>0</v>
      </c>
      <c r="I35" s="12">
        <f t="shared" si="22"/>
        <v>0</v>
      </c>
      <c r="J35" s="12">
        <f t="shared" ref="J35" si="32">J12</f>
        <v>0</v>
      </c>
      <c r="K35" s="12">
        <f t="shared" si="22"/>
        <v>0</v>
      </c>
      <c r="L35" s="12">
        <f>L12</f>
        <v>16029420.157809999</v>
      </c>
    </row>
    <row r="36" spans="1:12">
      <c r="C36" s="100"/>
      <c r="D36" s="100"/>
      <c r="E36" s="100"/>
      <c r="F36" s="100"/>
      <c r="G36" s="100"/>
      <c r="H36" s="100"/>
      <c r="I36" s="100"/>
      <c r="J36" s="100"/>
      <c r="K36" s="100"/>
      <c r="L36" s="100"/>
    </row>
    <row r="37" spans="1:12">
      <c r="B37" s="5" t="s">
        <v>23</v>
      </c>
      <c r="C37" s="12">
        <f>SUM(D37:L37)</f>
        <v>5918499475.4001799</v>
      </c>
      <c r="D37" s="12">
        <f t="shared" ref="D37:L37" si="33">SUM(D31:D35)</f>
        <v>2670384742.49228</v>
      </c>
      <c r="E37" s="12">
        <f t="shared" si="33"/>
        <v>700753024.69088006</v>
      </c>
      <c r="F37" s="12">
        <f t="shared" ref="F37" si="34">SUM(F31:F35)</f>
        <v>370617.37</v>
      </c>
      <c r="G37" s="12">
        <f t="shared" si="33"/>
        <v>1325395343.6310201</v>
      </c>
      <c r="H37" s="12">
        <f t="shared" ref="H37" si="35">SUM(H31:H35)</f>
        <v>451643.42999999993</v>
      </c>
      <c r="I37" s="12">
        <f t="shared" si="33"/>
        <v>627844986.16700006</v>
      </c>
      <c r="J37" s="12">
        <f t="shared" ref="J37" si="36">SUM(J31:J35)</f>
        <v>429788232</v>
      </c>
      <c r="K37" s="12">
        <f t="shared" si="33"/>
        <v>147481465.46119002</v>
      </c>
      <c r="L37" s="12">
        <f t="shared" si="33"/>
        <v>16029420.157809999</v>
      </c>
    </row>
    <row r="38" spans="1:12" s="8" customFormat="1">
      <c r="A38" s="33"/>
      <c r="B38" s="349"/>
      <c r="C38" s="12">
        <f>SUM(D38:L38)</f>
        <v>0</v>
      </c>
      <c r="D38" s="101">
        <f t="shared" ref="D38:L38" si="37">D15</f>
        <v>0</v>
      </c>
      <c r="E38" s="101">
        <f t="shared" si="37"/>
        <v>0</v>
      </c>
      <c r="F38" s="101">
        <f t="shared" ref="F38" si="38">F15</f>
        <v>0</v>
      </c>
      <c r="G38" s="101">
        <f t="shared" si="37"/>
        <v>0</v>
      </c>
      <c r="H38" s="101">
        <f t="shared" ref="H38" si="39">H15</f>
        <v>0</v>
      </c>
      <c r="I38" s="101">
        <f t="shared" si="37"/>
        <v>0</v>
      </c>
      <c r="J38" s="101">
        <f t="shared" ref="J38" si="40">J15</f>
        <v>0</v>
      </c>
      <c r="K38" s="101">
        <f t="shared" si="37"/>
        <v>0</v>
      </c>
      <c r="L38" s="101">
        <f t="shared" si="37"/>
        <v>0</v>
      </c>
    </row>
    <row r="39" spans="1:12">
      <c r="C39" s="100"/>
      <c r="D39" s="100"/>
      <c r="E39" s="100"/>
      <c r="F39" s="100"/>
      <c r="G39" s="100"/>
      <c r="H39" s="100"/>
      <c r="I39" s="100"/>
      <c r="J39" s="100"/>
      <c r="K39" s="100"/>
      <c r="L39" s="100"/>
    </row>
    <row r="40" spans="1:12">
      <c r="B40" s="5" t="s">
        <v>23</v>
      </c>
      <c r="C40" s="12">
        <f>SUM(D40:L40)</f>
        <v>5918499475.4001799</v>
      </c>
      <c r="D40" s="12">
        <f t="shared" ref="D40:L40" si="41">D37+D38</f>
        <v>2670384742.49228</v>
      </c>
      <c r="E40" s="12">
        <f t="shared" si="41"/>
        <v>700753024.69088006</v>
      </c>
      <c r="F40" s="12">
        <f t="shared" ref="F40" si="42">F37+F38</f>
        <v>370617.37</v>
      </c>
      <c r="G40" s="12">
        <f t="shared" si="41"/>
        <v>1325395343.6310201</v>
      </c>
      <c r="H40" s="12">
        <f t="shared" ref="H40" si="43">H37+H38</f>
        <v>451643.42999999993</v>
      </c>
      <c r="I40" s="12">
        <f t="shared" si="41"/>
        <v>627844986.16700006</v>
      </c>
      <c r="J40" s="12">
        <f t="shared" ref="J40" si="44">J37+J38</f>
        <v>429788232</v>
      </c>
      <c r="K40" s="12">
        <f t="shared" si="41"/>
        <v>147481465.46119002</v>
      </c>
      <c r="L40" s="12">
        <f t="shared" si="41"/>
        <v>16029420.157809999</v>
      </c>
    </row>
    <row r="41" spans="1:12">
      <c r="B41" s="5" t="s">
        <v>24</v>
      </c>
      <c r="C41" s="12">
        <f>SUM(D41:L41)</f>
        <v>0</v>
      </c>
      <c r="D41" s="12">
        <f t="shared" ref="D41:L41" si="45">D18</f>
        <v>0</v>
      </c>
      <c r="E41" s="12">
        <f t="shared" si="45"/>
        <v>0</v>
      </c>
      <c r="F41" s="12">
        <f t="shared" ref="F41" si="46">F18</f>
        <v>0</v>
      </c>
      <c r="G41" s="12">
        <f t="shared" si="45"/>
        <v>0</v>
      </c>
      <c r="H41" s="12">
        <f t="shared" ref="H41" si="47">H18</f>
        <v>0</v>
      </c>
      <c r="I41" s="12">
        <f t="shared" si="45"/>
        <v>0</v>
      </c>
      <c r="J41" s="12">
        <f t="shared" ref="J41" si="48">J18</f>
        <v>0</v>
      </c>
      <c r="K41" s="12">
        <f t="shared" si="45"/>
        <v>0</v>
      </c>
      <c r="L41" s="12">
        <f t="shared" si="45"/>
        <v>0</v>
      </c>
    </row>
    <row r="42" spans="1:12">
      <c r="C42" s="100"/>
      <c r="D42" s="100"/>
      <c r="E42" s="100"/>
      <c r="F42" s="100"/>
      <c r="G42" s="100"/>
      <c r="H42" s="100"/>
      <c r="I42" s="100"/>
      <c r="J42" s="100"/>
      <c r="K42" s="100"/>
      <c r="L42" s="100"/>
    </row>
    <row r="43" spans="1:12">
      <c r="B43" s="5" t="s">
        <v>25</v>
      </c>
      <c r="C43" s="12">
        <f>SUM(D43:L43)</f>
        <v>5918499475.4001799</v>
      </c>
      <c r="D43" s="12">
        <f t="shared" ref="D43:L43" si="49">D40+D41</f>
        <v>2670384742.49228</v>
      </c>
      <c r="E43" s="12">
        <f t="shared" si="49"/>
        <v>700753024.69088006</v>
      </c>
      <c r="F43" s="12">
        <f t="shared" ref="F43" si="50">F40+F41</f>
        <v>370617.37</v>
      </c>
      <c r="G43" s="12">
        <f t="shared" si="49"/>
        <v>1325395343.6310201</v>
      </c>
      <c r="H43" s="12">
        <f t="shared" ref="H43" si="51">H40+H41</f>
        <v>451643.42999999993</v>
      </c>
      <c r="I43" s="12">
        <f t="shared" si="49"/>
        <v>627844986.16700006</v>
      </c>
      <c r="J43" s="12">
        <f t="shared" ref="J43" si="52">J40+J41</f>
        <v>429788232</v>
      </c>
      <c r="K43" s="12">
        <f t="shared" si="49"/>
        <v>147481465.46119002</v>
      </c>
      <c r="L43" s="12">
        <f t="shared" si="49"/>
        <v>16029420.157809999</v>
      </c>
    </row>
    <row r="44" spans="1:12" s="8" customFormat="1">
      <c r="A44" s="33"/>
      <c r="B44" s="84" t="s">
        <v>26</v>
      </c>
      <c r="C44" s="101">
        <f>SUM(D44:L44)</f>
        <v>-154699972</v>
      </c>
      <c r="D44" s="101">
        <f t="shared" ref="D44:L44" si="53">D21</f>
        <v>-83426247</v>
      </c>
      <c r="E44" s="101">
        <f t="shared" si="53"/>
        <v>-23053465</v>
      </c>
      <c r="F44" s="101">
        <f t="shared" ref="F44" si="54">F21</f>
        <v>0</v>
      </c>
      <c r="G44" s="101">
        <f t="shared" si="53"/>
        <v>-41470151</v>
      </c>
      <c r="H44" s="101">
        <f t="shared" ref="H44" si="55">H21</f>
        <v>0</v>
      </c>
      <c r="I44" s="101">
        <f t="shared" si="53"/>
        <v>0</v>
      </c>
      <c r="J44" s="101">
        <f t="shared" ref="J44" si="56">J21</f>
        <v>0</v>
      </c>
      <c r="K44" s="101">
        <f t="shared" si="53"/>
        <v>-6750109</v>
      </c>
      <c r="L44" s="101">
        <f t="shared" si="53"/>
        <v>0</v>
      </c>
    </row>
    <row r="45" spans="1:12">
      <c r="C45" s="100"/>
      <c r="D45" s="100"/>
      <c r="E45" s="100"/>
      <c r="F45" s="100"/>
      <c r="G45" s="100"/>
      <c r="H45" s="100"/>
      <c r="I45" s="100"/>
      <c r="J45" s="100"/>
      <c r="K45" s="100"/>
      <c r="L45" s="100"/>
    </row>
    <row r="46" spans="1:12">
      <c r="B46" s="5" t="s">
        <v>27</v>
      </c>
      <c r="C46" s="12">
        <f>IF(ROUND(SUM(D46:L46),3)&lt;&gt;ROUND(SUM(C43:C44),3),#VALUE!,SUM(D46:L46))</f>
        <v>5763799503.4001799</v>
      </c>
      <c r="D46" s="12">
        <f t="shared" ref="D46:L46" si="57">D43+D44</f>
        <v>2586958495.49228</v>
      </c>
      <c r="E46" s="12">
        <f t="shared" si="57"/>
        <v>677699559.69088006</v>
      </c>
      <c r="F46" s="12">
        <f t="shared" ref="F46" si="58">F43+F44</f>
        <v>370617.37</v>
      </c>
      <c r="G46" s="12">
        <f t="shared" si="57"/>
        <v>1283925192.6310201</v>
      </c>
      <c r="H46" s="12">
        <f t="shared" ref="H46" si="59">H43+H44</f>
        <v>451643.42999999993</v>
      </c>
      <c r="I46" s="12">
        <f t="shared" si="57"/>
        <v>627844986.16700006</v>
      </c>
      <c r="J46" s="12">
        <f t="shared" ref="J46" si="60">J43+J44</f>
        <v>429788232</v>
      </c>
      <c r="K46" s="12">
        <f t="shared" si="57"/>
        <v>140731356.46119002</v>
      </c>
      <c r="L46" s="12">
        <f t="shared" si="57"/>
        <v>16029420.157809999</v>
      </c>
    </row>
    <row r="47" spans="1:12">
      <c r="C47" s="12"/>
      <c r="D47" s="12"/>
      <c r="E47" s="12"/>
      <c r="F47" s="12"/>
      <c r="G47" s="12"/>
      <c r="H47" s="12"/>
      <c r="I47" s="12"/>
      <c r="J47" s="12"/>
      <c r="K47" s="12"/>
      <c r="L47" s="12"/>
    </row>
    <row r="48" spans="1:12">
      <c r="B48" s="5" t="s">
        <v>28</v>
      </c>
      <c r="C48" s="12"/>
      <c r="D48" s="12">
        <f t="shared" ref="D48:K48" si="61">D25</f>
        <v>2738172</v>
      </c>
      <c r="E48" s="12">
        <f t="shared" si="61"/>
        <v>416737</v>
      </c>
      <c r="F48" s="12">
        <f t="shared" si="61"/>
        <v>152</v>
      </c>
      <c r="G48" s="12">
        <f t="shared" si="61"/>
        <v>20410</v>
      </c>
      <c r="H48" s="12">
        <f t="shared" si="61"/>
        <v>37</v>
      </c>
      <c r="I48" s="12">
        <f t="shared" si="61"/>
        <v>252</v>
      </c>
      <c r="J48" s="12">
        <f t="shared" si="61"/>
        <v>12</v>
      </c>
      <c r="K48" s="12">
        <f t="shared" si="61"/>
        <v>30627</v>
      </c>
      <c r="L48" s="12"/>
    </row>
    <row r="49" spans="1:17">
      <c r="B49" s="5" t="s">
        <v>29</v>
      </c>
      <c r="C49" s="12"/>
      <c r="D49" s="12"/>
      <c r="E49" s="12"/>
      <c r="F49" s="12"/>
      <c r="G49" s="12"/>
      <c r="H49" s="12"/>
      <c r="I49" s="12"/>
      <c r="J49" s="12"/>
      <c r="K49" s="12"/>
      <c r="L49" s="12"/>
    </row>
    <row r="50" spans="1:17">
      <c r="B50" s="5" t="s">
        <v>30</v>
      </c>
      <c r="C50" s="12"/>
      <c r="D50" s="12"/>
      <c r="E50" s="12">
        <f t="shared" ref="E50:I50" si="62">E27</f>
        <v>566912.83238095231</v>
      </c>
      <c r="F50" s="12">
        <f t="shared" si="62"/>
        <v>0</v>
      </c>
      <c r="G50" s="12">
        <f t="shared" si="62"/>
        <v>2600000.3744761907</v>
      </c>
      <c r="H50" s="12">
        <f t="shared" si="62"/>
        <v>0</v>
      </c>
      <c r="I50" s="12">
        <f t="shared" si="62"/>
        <v>600031.76899999997</v>
      </c>
      <c r="J50" s="12">
        <f>J27</f>
        <v>709647.84</v>
      </c>
      <c r="K50" s="12"/>
      <c r="L50" s="12"/>
    </row>
    <row r="51" spans="1:17" s="2" customFormat="1">
      <c r="A51" s="1"/>
      <c r="C51" s="7"/>
      <c r="D51" s="7"/>
      <c r="E51" s="7"/>
      <c r="F51" s="7"/>
      <c r="G51" s="7"/>
      <c r="H51" s="7"/>
      <c r="I51" s="7"/>
      <c r="J51" s="7"/>
      <c r="K51" s="7"/>
      <c r="L51" s="7"/>
    </row>
    <row r="52" spans="1:17" s="2" customFormat="1">
      <c r="A52" s="1"/>
      <c r="C52" s="7"/>
      <c r="D52" s="7"/>
      <c r="E52" s="7"/>
      <c r="F52" s="7"/>
      <c r="G52" s="7"/>
      <c r="H52" s="7"/>
      <c r="I52" s="7"/>
      <c r="J52" s="7"/>
      <c r="K52" s="7"/>
      <c r="L52" s="7"/>
    </row>
    <row r="53" spans="1:17" s="2" customFormat="1" ht="27.75" customHeight="1">
      <c r="A53" s="1"/>
      <c r="C53" s="7"/>
      <c r="D53" s="7"/>
      <c r="E53" s="7"/>
      <c r="F53" s="7"/>
      <c r="G53" s="7"/>
      <c r="H53" s="7"/>
      <c r="I53" s="7"/>
      <c r="J53" s="7"/>
      <c r="K53" s="7"/>
      <c r="L53" s="7"/>
    </row>
    <row r="54" spans="1:17" s="2" customFormat="1">
      <c r="A54" s="1"/>
      <c r="C54" s="7"/>
      <c r="D54" s="7"/>
      <c r="E54" s="7"/>
      <c r="F54" s="7"/>
      <c r="G54" s="7"/>
      <c r="H54" s="7"/>
      <c r="I54" s="7"/>
      <c r="J54" s="7"/>
      <c r="K54" s="7"/>
      <c r="L54" s="7"/>
    </row>
    <row r="55" spans="1:17" s="2" customFormat="1">
      <c r="A55" s="1"/>
      <c r="C55" s="7"/>
      <c r="D55" s="110">
        <v>1</v>
      </c>
      <c r="E55" s="110">
        <v>2</v>
      </c>
      <c r="F55" s="110">
        <v>3</v>
      </c>
      <c r="G55" s="110">
        <v>4</v>
      </c>
      <c r="H55" s="110">
        <v>5</v>
      </c>
      <c r="I55" s="110">
        <v>6</v>
      </c>
      <c r="J55" s="110">
        <v>7</v>
      </c>
      <c r="K55" s="110">
        <v>8</v>
      </c>
      <c r="L55" s="110">
        <v>9</v>
      </c>
      <c r="O55" s="111">
        <f>SUMPRODUCT(--(ISBLANK(D55:L55)))</f>
        <v>0</v>
      </c>
    </row>
    <row r="56" spans="1:17" s="2" customFormat="1">
      <c r="A56" s="1" t="s">
        <v>0</v>
      </c>
      <c r="C56" s="2" t="s">
        <v>1</v>
      </c>
      <c r="D56" s="2" t="str">
        <f t="shared" ref="D56:L56" si="63">D$4</f>
        <v>RESIDENTIAL</v>
      </c>
      <c r="E56" s="2" t="str">
        <f t="shared" si="63"/>
        <v xml:space="preserve">GENERAL SVC. </v>
      </c>
      <c r="F56" s="2" t="str">
        <f t="shared" si="63"/>
        <v xml:space="preserve">GENERAL SVC. </v>
      </c>
      <c r="G56" s="2" t="str">
        <f t="shared" si="63"/>
        <v>LG. GEN. SVC.</v>
      </c>
      <c r="H56" s="2" t="str">
        <f t="shared" si="63"/>
        <v>LG. GEN. SVC.</v>
      </c>
      <c r="I56" s="2" t="str">
        <f t="shared" si="63"/>
        <v>EX LG GEN SVC</v>
      </c>
      <c r="J56" s="2" t="str">
        <f t="shared" si="63"/>
        <v>EX LG GEN SVC</v>
      </c>
      <c r="K56" s="2" t="str">
        <f t="shared" si="63"/>
        <v>PUMPING</v>
      </c>
      <c r="L56" s="2" t="str">
        <f t="shared" si="63"/>
        <v>ST &amp; AREA LTG</v>
      </c>
      <c r="O56" s="5" t="str">
        <f ca="1">"selected in cell "&amp;CELL("address",Base1_Billing2)&amp;":"</f>
        <v>selected in cell $Q$8:</v>
      </c>
    </row>
    <row r="57" spans="1:17" s="2" customFormat="1">
      <c r="A57" s="1" t="s">
        <v>8</v>
      </c>
      <c r="C57" s="3" t="s">
        <v>9</v>
      </c>
      <c r="D57" s="3" t="str">
        <f t="shared" ref="D57:L57" si="64">D$5</f>
        <v>SCHEDULE 1</v>
      </c>
      <c r="E57" s="3" t="str">
        <f t="shared" si="64"/>
        <v>SCH. 11,12</v>
      </c>
      <c r="F57" s="3" t="str">
        <f t="shared" si="64"/>
        <v>SCH. 13</v>
      </c>
      <c r="G57" s="3" t="str">
        <f t="shared" si="64"/>
        <v>SCH. 21,22</v>
      </c>
      <c r="H57" s="3" t="str">
        <f t="shared" si="64"/>
        <v>SCH. 23</v>
      </c>
      <c r="I57" s="3" t="str">
        <f t="shared" si="64"/>
        <v>SCHEDULE 25</v>
      </c>
      <c r="J57" s="3" t="str">
        <f t="shared" si="64"/>
        <v>SCHEDULE 25I</v>
      </c>
      <c r="K57" s="3" t="str">
        <f t="shared" si="64"/>
        <v>SCH. 30, 31, 32</v>
      </c>
      <c r="L57" s="3" t="str">
        <f t="shared" si="64"/>
        <v>SCH. 41-48</v>
      </c>
      <c r="O57" s="14" t="str">
        <f>Q10</f>
        <v>Base</v>
      </c>
    </row>
    <row r="58" spans="1:17" ht="12.75">
      <c r="B58" s="4" t="s">
        <v>32</v>
      </c>
      <c r="O58" s="5" t="str">
        <f>"Rates_"&amp;$O$57&amp;"_Present"</f>
        <v>Rates_Base_Present</v>
      </c>
      <c r="Q58" s="126" t="s">
        <v>206</v>
      </c>
    </row>
    <row r="59" spans="1:17">
      <c r="B59" s="5" t="s">
        <v>33</v>
      </c>
      <c r="D59" s="127">
        <f t="shared" ref="D59:L59" ca="1" si="65">INDEX(INDIRECT($O$58),$N59,D$55)</f>
        <v>10</v>
      </c>
      <c r="E59" s="127">
        <f t="shared" ca="1" si="65"/>
        <v>25</v>
      </c>
      <c r="F59" s="127">
        <f t="shared" ca="1" si="65"/>
        <v>25</v>
      </c>
      <c r="G59" s="127">
        <f t="shared" ca="1" si="65"/>
        <v>0</v>
      </c>
      <c r="H59" s="127">
        <f t="shared" ca="1" si="65"/>
        <v>0</v>
      </c>
      <c r="I59" s="127">
        <f t="shared" ca="1" si="65"/>
        <v>0</v>
      </c>
      <c r="J59" s="127">
        <f t="shared" ca="1" si="65"/>
        <v>0</v>
      </c>
      <c r="K59" s="127">
        <f t="shared" ca="1" si="65"/>
        <v>25</v>
      </c>
      <c r="L59" s="127">
        <f t="shared" ca="1" si="65"/>
        <v>0</v>
      </c>
      <c r="N59" s="109">
        <v>1</v>
      </c>
      <c r="O59" s="5" t="str">
        <f>"Rates_"&amp;$O$57&amp;"_Proposed"</f>
        <v>Rates_Base_Proposed</v>
      </c>
      <c r="Q59" s="126" t="s">
        <v>207</v>
      </c>
    </row>
    <row r="60" spans="1:17">
      <c r="B60" s="5" t="s">
        <v>34</v>
      </c>
      <c r="D60" s="9"/>
    </row>
    <row r="62" spans="1:17">
      <c r="B62" s="5" t="s">
        <v>35</v>
      </c>
      <c r="D62" s="128">
        <f t="shared" ref="D62:L64" ca="1" si="66">INDEX(INDIRECT($O$58),$N62,D$55)</f>
        <v>10.007999999999999</v>
      </c>
      <c r="E62" s="128">
        <f t="shared" ca="1" si="66"/>
        <v>12.766999999999999</v>
      </c>
      <c r="F62" s="128">
        <f t="shared" ca="1" si="66"/>
        <v>23.573</v>
      </c>
      <c r="G62" s="128">
        <f t="shared" ca="1" si="66"/>
        <v>7.7450000000000001</v>
      </c>
      <c r="H62" s="128">
        <f t="shared" ca="1" si="66"/>
        <v>16.687999999999999</v>
      </c>
      <c r="I62" s="128">
        <f t="shared" ca="1" si="66"/>
        <v>5.6379999999999999</v>
      </c>
      <c r="J62" s="128">
        <f t="shared" ca="1" si="66"/>
        <v>4.8579999999999997</v>
      </c>
      <c r="K62" s="128">
        <f t="shared" ca="1" si="66"/>
        <v>12.228999999999999</v>
      </c>
      <c r="L62" s="128">
        <f t="shared" ca="1" si="66"/>
        <v>0</v>
      </c>
      <c r="N62" s="109">
        <v>2</v>
      </c>
    </row>
    <row r="63" spans="1:17">
      <c r="B63" s="5" t="s">
        <v>36</v>
      </c>
      <c r="D63" s="128">
        <f t="shared" ca="1" si="66"/>
        <v>11.759</v>
      </c>
      <c r="E63" s="128">
        <f t="shared" ca="1" si="66"/>
        <v>9.2929999999999993</v>
      </c>
      <c r="F63" s="128">
        <f t="shared" ca="1" si="66"/>
        <v>9.3870000000000005</v>
      </c>
      <c r="G63" s="128">
        <f t="shared" ca="1" si="66"/>
        <v>6.9020000000000001</v>
      </c>
      <c r="H63" s="128">
        <f t="shared" ca="1" si="66"/>
        <v>6.7430000000000003</v>
      </c>
      <c r="I63" s="128">
        <f t="shared" ca="1" si="66"/>
        <v>5.0629999999999997</v>
      </c>
      <c r="J63" s="128">
        <f t="shared" ca="1" si="66"/>
        <v>4.3659999999999997</v>
      </c>
      <c r="K63" s="128">
        <f t="shared" ca="1" si="66"/>
        <v>8.5579999999999998</v>
      </c>
      <c r="L63" s="128">
        <f t="shared" ca="1" si="66"/>
        <v>0</v>
      </c>
      <c r="N63" s="109">
        <v>3</v>
      </c>
    </row>
    <row r="64" spans="1:17">
      <c r="B64" s="5" t="s">
        <v>37</v>
      </c>
      <c r="D64" s="128">
        <f t="shared" ca="1" si="66"/>
        <v>13.914</v>
      </c>
      <c r="E64" s="128">
        <f t="shared" ca="1" si="66"/>
        <v>0</v>
      </c>
      <c r="F64" s="128">
        <f t="shared" ca="1" si="66"/>
        <v>0</v>
      </c>
      <c r="G64" s="128">
        <f t="shared" ca="1" si="66"/>
        <v>0</v>
      </c>
      <c r="H64" s="128">
        <f t="shared" ca="1" si="66"/>
        <v>0</v>
      </c>
      <c r="I64" s="128">
        <f t="shared" ca="1" si="66"/>
        <v>4.1310000000000002</v>
      </c>
      <c r="J64" s="128">
        <f t="shared" ca="1" si="66"/>
        <v>3.7240000000000002</v>
      </c>
      <c r="K64" s="128">
        <f t="shared" ca="1" si="66"/>
        <v>0</v>
      </c>
      <c r="L64" s="128">
        <f t="shared" ca="1" si="66"/>
        <v>0</v>
      </c>
      <c r="N64" s="109">
        <v>4</v>
      </c>
    </row>
    <row r="65" spans="1:15">
      <c r="B65" s="5" t="s">
        <v>38</v>
      </c>
      <c r="D65" s="10"/>
      <c r="E65" s="10"/>
      <c r="F65" s="10"/>
      <c r="G65" s="10"/>
      <c r="H65" s="10"/>
      <c r="I65" s="10"/>
      <c r="J65" s="10"/>
      <c r="K65" s="10"/>
      <c r="L65" s="10"/>
      <c r="N65" s="109">
        <v>5</v>
      </c>
    </row>
    <row r="66" spans="1:15">
      <c r="D66" s="10"/>
      <c r="E66" s="10"/>
      <c r="F66" s="10"/>
      <c r="G66" s="10"/>
      <c r="H66" s="10"/>
      <c r="I66" s="10"/>
      <c r="J66" s="10"/>
      <c r="K66" s="10"/>
      <c r="L66" s="10"/>
    </row>
    <row r="67" spans="1:15">
      <c r="B67" s="5" t="s">
        <v>39</v>
      </c>
      <c r="D67" s="128">
        <f ca="1">(D124-D111)/D14*100</f>
        <v>10.933970337453877</v>
      </c>
      <c r="E67" s="128">
        <f ca="1">(E124-E111-SUM(E117:E120))/E14*100</f>
        <v>11.605053261935407</v>
      </c>
      <c r="F67" s="600">
        <v>0</v>
      </c>
      <c r="G67" s="128">
        <f ca="1">(G124-G111-SUM(G117:G120))/G14*100</f>
        <v>7.6533332833436667</v>
      </c>
      <c r="H67" s="600">
        <v>0</v>
      </c>
      <c r="I67" s="128"/>
      <c r="J67" s="128"/>
      <c r="K67" s="128">
        <f ca="1">(K124-K111-SUM(K117:K120))/K14*100</f>
        <v>9.7467945379093965</v>
      </c>
      <c r="L67" s="128"/>
    </row>
    <row r="68" spans="1:15">
      <c r="D68" s="10"/>
      <c r="E68" s="10"/>
      <c r="F68" s="10"/>
      <c r="G68" s="10"/>
      <c r="H68" s="10"/>
      <c r="I68" s="10"/>
      <c r="J68" s="10"/>
      <c r="K68" s="10"/>
      <c r="L68" s="10"/>
    </row>
    <row r="69" spans="1:15" s="9" customFormat="1">
      <c r="A69" s="1"/>
      <c r="B69" s="9" t="s">
        <v>40</v>
      </c>
      <c r="D69" s="127">
        <f t="shared" ref="D69:L70" ca="1" si="67">INDEX(INDIRECT($O$58),$N69,D$55)</f>
        <v>0</v>
      </c>
      <c r="E69" s="127">
        <f t="shared" ca="1" si="67"/>
        <v>0</v>
      </c>
      <c r="F69" s="127">
        <f t="shared" ca="1" si="67"/>
        <v>0</v>
      </c>
      <c r="G69" s="127">
        <f t="shared" ca="1" si="67"/>
        <v>750</v>
      </c>
      <c r="H69" s="127">
        <f t="shared" ca="1" si="67"/>
        <v>750</v>
      </c>
      <c r="I69" s="127">
        <f t="shared" ca="1" si="67"/>
        <v>38300</v>
      </c>
      <c r="J69" s="127">
        <f t="shared" ca="1" si="67"/>
        <v>30650</v>
      </c>
      <c r="K69" s="127">
        <f t="shared" ca="1" si="67"/>
        <v>0</v>
      </c>
      <c r="L69" s="127">
        <f t="shared" ca="1" si="67"/>
        <v>0</v>
      </c>
      <c r="N69" s="109">
        <v>6</v>
      </c>
    </row>
    <row r="70" spans="1:15" s="9" customFormat="1">
      <c r="A70" s="1"/>
      <c r="B70" s="9" t="s">
        <v>41</v>
      </c>
      <c r="D70" s="127">
        <f t="shared" ca="1" si="67"/>
        <v>0</v>
      </c>
      <c r="E70" s="127">
        <f t="shared" ca="1" si="67"/>
        <v>9</v>
      </c>
      <c r="F70" s="127">
        <f t="shared" ca="1" si="67"/>
        <v>0</v>
      </c>
      <c r="G70" s="127">
        <f t="shared" ca="1" si="67"/>
        <v>9</v>
      </c>
      <c r="H70" s="127">
        <f t="shared" ca="1" si="67"/>
        <v>0</v>
      </c>
      <c r="I70" s="127">
        <f t="shared" ca="1" si="67"/>
        <v>10.35</v>
      </c>
      <c r="J70" s="127">
        <f t="shared" ca="1" si="67"/>
        <v>9</v>
      </c>
      <c r="K70" s="127">
        <f t="shared" ca="1" si="67"/>
        <v>0</v>
      </c>
      <c r="L70" s="127">
        <f t="shared" ca="1" si="67"/>
        <v>0</v>
      </c>
      <c r="N70" s="109">
        <v>7</v>
      </c>
    </row>
    <row r="71" spans="1:15">
      <c r="D71" s="10"/>
      <c r="E71" s="10"/>
      <c r="F71" s="10"/>
      <c r="G71" s="10"/>
      <c r="H71" s="10"/>
      <c r="I71" s="10"/>
      <c r="J71" s="10"/>
      <c r="K71" s="10"/>
      <c r="L71" s="10"/>
    </row>
    <row r="72" spans="1:15">
      <c r="D72" s="10"/>
      <c r="E72" s="10"/>
      <c r="F72" s="10"/>
      <c r="G72" s="10"/>
      <c r="H72" s="10"/>
      <c r="I72" s="10"/>
      <c r="J72" s="10"/>
      <c r="K72" s="10"/>
      <c r="L72" s="10"/>
    </row>
    <row r="73" spans="1:15">
      <c r="D73" s="10"/>
      <c r="E73" s="10"/>
      <c r="F73" s="10"/>
      <c r="G73" s="10"/>
      <c r="H73" s="10"/>
      <c r="I73" s="10"/>
      <c r="J73" s="10"/>
      <c r="K73" s="10"/>
      <c r="L73" s="10"/>
    </row>
    <row r="74" spans="1:15">
      <c r="D74" s="10"/>
      <c r="E74" s="10"/>
      <c r="F74" s="10"/>
      <c r="G74" s="10"/>
      <c r="H74" s="10"/>
      <c r="I74" s="10"/>
      <c r="J74" s="10"/>
      <c r="K74" s="10"/>
      <c r="L74" s="10"/>
    </row>
    <row r="75" spans="1:15" ht="12.75">
      <c r="B75" s="4" t="s">
        <v>42</v>
      </c>
    </row>
    <row r="76" spans="1:15">
      <c r="B76" s="5" t="s">
        <v>33</v>
      </c>
      <c r="D76" s="127">
        <f ca="1">INDEX(INDIRECT($O$59),$N76,D$55)</f>
        <v>10</v>
      </c>
      <c r="E76" s="127">
        <f ca="1">INDEX(INDIRECT($O$59),$N76,E$55)</f>
        <v>30</v>
      </c>
      <c r="F76" s="127">
        <f ca="1">INDEX(INDIRECT($O$59),$N76,F$55)</f>
        <v>30</v>
      </c>
      <c r="G76" s="127"/>
      <c r="H76" s="127">
        <f ca="1">INDEX(INDIRECT($O$59),$N76,H$55)</f>
        <v>0</v>
      </c>
      <c r="I76" s="127"/>
      <c r="J76" s="127"/>
      <c r="K76" s="127">
        <f ca="1">INDEX(INDIRECT($O$59),$N76,K$55)</f>
        <v>30</v>
      </c>
      <c r="L76" s="127"/>
      <c r="N76" s="109">
        <v>1</v>
      </c>
      <c r="O76" s="96"/>
    </row>
    <row r="77" spans="1:15">
      <c r="B77" s="5" t="s">
        <v>34</v>
      </c>
      <c r="D77" s="9"/>
    </row>
    <row r="79" spans="1:15">
      <c r="B79" s="5" t="s">
        <v>35</v>
      </c>
      <c r="C79" s="213"/>
      <c r="D79" s="128">
        <f t="shared" ref="D79:K80" ca="1" si="68">INDEX(INDIRECT($O$59),$N79,D$55)</f>
        <v>11.702999999999999</v>
      </c>
      <c r="E79" s="128">
        <f t="shared" ca="1" si="68"/>
        <v>13.590999999999999</v>
      </c>
      <c r="F79" s="128">
        <f t="shared" ca="1" si="68"/>
        <v>25.981000000000002</v>
      </c>
      <c r="G79" s="128">
        <f t="shared" ca="1" si="68"/>
        <v>7.89</v>
      </c>
      <c r="H79" s="128">
        <f t="shared" ca="1" si="68"/>
        <v>17.498000000000001</v>
      </c>
      <c r="I79" s="128">
        <f t="shared" ca="1" si="68"/>
        <v>5.399</v>
      </c>
      <c r="J79" s="128">
        <f t="shared" ca="1" si="68"/>
        <v>4.9930000000000003</v>
      </c>
      <c r="K79" s="128">
        <f t="shared" ca="1" si="68"/>
        <v>13.505000000000001</v>
      </c>
      <c r="L79" s="128"/>
      <c r="N79" s="109">
        <v>2</v>
      </c>
    </row>
    <row r="80" spans="1:15">
      <c r="B80" s="5" t="s">
        <v>36</v>
      </c>
      <c r="C80" s="213"/>
      <c r="D80" s="128">
        <f t="shared" ca="1" si="68"/>
        <v>13.750999999999999</v>
      </c>
      <c r="E80" s="128">
        <f t="shared" ca="1" si="68"/>
        <v>9.8930000000000007</v>
      </c>
      <c r="F80" s="128">
        <f t="shared" ca="1" si="68"/>
        <v>10.346</v>
      </c>
      <c r="G80" s="128">
        <f t="shared" ca="1" si="68"/>
        <v>7.0309999999999997</v>
      </c>
      <c r="H80" s="128">
        <f t="shared" ca="1" si="68"/>
        <v>7.07</v>
      </c>
      <c r="I80" s="128">
        <f t="shared" ca="1" si="68"/>
        <v>4.8490000000000002</v>
      </c>
      <c r="J80" s="128">
        <f t="shared" ca="1" si="68"/>
        <v>4.4870000000000001</v>
      </c>
      <c r="K80" s="128">
        <f t="shared" ca="1" si="68"/>
        <v>9.452</v>
      </c>
      <c r="L80" s="128"/>
      <c r="N80" s="109">
        <v>3</v>
      </c>
    </row>
    <row r="81" spans="1:14">
      <c r="B81" s="5" t="s">
        <v>37</v>
      </c>
      <c r="C81" s="213"/>
      <c r="D81" s="128">
        <f ca="1">INDEX(INDIRECT($O$59),$N81,D$55)</f>
        <v>16.271999999999998</v>
      </c>
      <c r="E81" s="128"/>
      <c r="F81" s="128"/>
      <c r="G81" s="128"/>
      <c r="H81" s="128"/>
      <c r="I81" s="128">
        <f ca="1">INDEX(INDIRECT($O$59),$N81,I$55)</f>
        <v>3.956</v>
      </c>
      <c r="J81" s="128">
        <f ca="1">INDEX(INDIRECT($O$59),$N81,J$55)</f>
        <v>3.8279999999999998</v>
      </c>
      <c r="K81" s="128"/>
      <c r="L81" s="128"/>
      <c r="N81" s="109">
        <v>4</v>
      </c>
    </row>
    <row r="82" spans="1:14">
      <c r="B82" s="5" t="s">
        <v>38</v>
      </c>
      <c r="D82" s="10"/>
      <c r="E82" s="10"/>
      <c r="F82" s="10"/>
      <c r="G82" s="10"/>
      <c r="H82" s="10"/>
      <c r="I82" s="10"/>
      <c r="J82" s="10"/>
      <c r="K82" s="10"/>
      <c r="L82" s="10"/>
      <c r="N82" s="109">
        <v>5</v>
      </c>
    </row>
    <row r="83" spans="1:14">
      <c r="D83" s="10"/>
      <c r="E83" s="10"/>
      <c r="F83" s="10"/>
      <c r="G83" s="10"/>
      <c r="H83" s="10"/>
      <c r="I83" s="10"/>
      <c r="J83" s="10"/>
      <c r="K83" s="10"/>
      <c r="L83" s="10"/>
    </row>
    <row r="84" spans="1:14">
      <c r="B84" s="5" t="s">
        <v>39</v>
      </c>
      <c r="D84" s="128">
        <f ca="1">(D177-D164)/D37*100</f>
        <v>12.786097467413429</v>
      </c>
      <c r="E84" s="128">
        <f ca="1">(E177-E164-SUM(E170:E173))/E37*100</f>
        <v>12.354132112121681</v>
      </c>
      <c r="F84" s="600">
        <v>0</v>
      </c>
      <c r="G84" s="128">
        <f ca="1">(G177-G164-SUM(G170:G173))/G37*100</f>
        <v>7.796593464475599</v>
      </c>
      <c r="H84" s="600">
        <v>0</v>
      </c>
      <c r="I84" s="128"/>
      <c r="J84" s="128"/>
      <c r="K84" s="128">
        <f ca="1">(K177-K164-SUM(K170:K173))/K37*100</f>
        <v>10.764499112044488</v>
      </c>
      <c r="L84" s="128"/>
    </row>
    <row r="85" spans="1:14">
      <c r="D85" s="10"/>
      <c r="E85" s="10"/>
      <c r="F85" s="10"/>
      <c r="G85" s="10"/>
      <c r="H85" s="10"/>
      <c r="I85" s="10"/>
      <c r="J85" s="10"/>
      <c r="K85" s="10"/>
      <c r="L85" s="10"/>
    </row>
    <row r="86" spans="1:14" s="9" customFormat="1">
      <c r="A86" s="1"/>
      <c r="B86" s="9" t="s">
        <v>40</v>
      </c>
      <c r="D86" s="127"/>
      <c r="E86" s="127"/>
      <c r="F86" s="127"/>
      <c r="G86" s="127">
        <f t="shared" ref="G86:J87" ca="1" si="69">INDEX(INDIRECT($O$59),$N86,G$55)</f>
        <v>900</v>
      </c>
      <c r="H86" s="127">
        <f t="shared" ca="1" si="69"/>
        <v>900</v>
      </c>
      <c r="I86" s="127">
        <f t="shared" ca="1" si="69"/>
        <v>47890.63</v>
      </c>
      <c r="J86" s="127">
        <f t="shared" ca="1" si="69"/>
        <v>30650</v>
      </c>
      <c r="K86" s="127"/>
      <c r="L86" s="127"/>
      <c r="N86" s="109">
        <v>6</v>
      </c>
    </row>
    <row r="87" spans="1:14" s="9" customFormat="1">
      <c r="A87" s="1"/>
      <c r="B87" s="9" t="s">
        <v>41</v>
      </c>
      <c r="D87" s="127"/>
      <c r="E87" s="127">
        <f ca="1">INDEX(INDIRECT($O$59),$N87,E$55)</f>
        <v>10</v>
      </c>
      <c r="F87" s="127">
        <f ca="1">INDEX(INDIRECT($O$59),$N87,F$55)</f>
        <v>0</v>
      </c>
      <c r="G87" s="127">
        <f t="shared" ca="1" si="69"/>
        <v>10</v>
      </c>
      <c r="H87" s="127">
        <f t="shared" ca="1" si="69"/>
        <v>0</v>
      </c>
      <c r="I87" s="127">
        <f t="shared" ca="1" si="69"/>
        <v>12.98</v>
      </c>
      <c r="J87" s="127">
        <f t="shared" ca="1" si="69"/>
        <v>10</v>
      </c>
      <c r="K87" s="127"/>
      <c r="L87" s="127"/>
      <c r="N87" s="109">
        <v>7</v>
      </c>
    </row>
    <row r="88" spans="1:14" s="9" customFormat="1">
      <c r="A88" s="1"/>
      <c r="D88" s="5"/>
    </row>
    <row r="89" spans="1:14" s="9" customFormat="1">
      <c r="A89" s="1"/>
      <c r="D89" s="5"/>
    </row>
    <row r="90" spans="1:14" s="9" customFormat="1">
      <c r="A90" s="1"/>
      <c r="D90" s="5"/>
    </row>
    <row r="91" spans="1:14" s="9" customFormat="1">
      <c r="A91" s="1"/>
      <c r="D91" s="5"/>
    </row>
    <row r="92" spans="1:14" s="9" customFormat="1">
      <c r="A92" s="1"/>
      <c r="D92" s="5"/>
    </row>
    <row r="93" spans="1:14" s="9" customFormat="1">
      <c r="A93" s="1"/>
      <c r="D93" s="5"/>
    </row>
    <row r="94" spans="1:14" s="9" customFormat="1">
      <c r="A94" s="1"/>
      <c r="D94" s="5"/>
    </row>
    <row r="95" spans="1:14" s="9" customFormat="1">
      <c r="A95" s="1"/>
      <c r="B95" s="872" t="str">
        <f>CHOOSE(Base1_Billing2,"Note: Rates do not include Adder Schedules  59, 61, 66, 75, 78, 88, 91, 92, 93, 98 or 99.","")</f>
        <v>Note: Rates do not include Adder Schedules  59, 61, 66, 75, 78, 88, 91, 92, 93, 98 or 99.</v>
      </c>
      <c r="C95" s="873"/>
      <c r="D95" s="873"/>
      <c r="E95" s="873"/>
      <c r="F95" s="873"/>
      <c r="G95" s="873"/>
      <c r="H95" s="873"/>
      <c r="I95" s="873"/>
      <c r="J95" s="873"/>
      <c r="K95" s="873"/>
    </row>
    <row r="96" spans="1:14" s="9" customFormat="1">
      <c r="A96" s="1"/>
      <c r="B96" s="873"/>
      <c r="C96" s="873"/>
      <c r="D96" s="873"/>
      <c r="E96" s="873"/>
      <c r="F96" s="873"/>
      <c r="G96" s="873"/>
      <c r="H96" s="873"/>
      <c r="I96" s="873"/>
      <c r="J96" s="873"/>
      <c r="K96" s="873"/>
    </row>
    <row r="97" spans="1:12" s="9" customFormat="1">
      <c r="A97" s="1"/>
      <c r="D97" s="5"/>
    </row>
    <row r="98" spans="1:12" s="9" customFormat="1">
      <c r="A98" s="1"/>
      <c r="D98" s="5"/>
    </row>
    <row r="99" spans="1:12" s="9" customFormat="1">
      <c r="A99" s="1"/>
      <c r="D99" s="5"/>
    </row>
    <row r="100" spans="1:12" s="9" customFormat="1">
      <c r="A100" s="1"/>
      <c r="D100" s="5"/>
    </row>
    <row r="101" spans="1:12" s="9" customFormat="1">
      <c r="A101" s="1"/>
      <c r="D101" s="5"/>
    </row>
    <row r="102" spans="1:12" s="9" customFormat="1">
      <c r="A102" s="1"/>
      <c r="D102" s="5"/>
    </row>
    <row r="103" spans="1:12" s="9" customFormat="1">
      <c r="A103" s="1"/>
      <c r="D103" s="5"/>
    </row>
    <row r="104" spans="1:12" s="9" customFormat="1">
      <c r="A104" s="1"/>
      <c r="D104" s="5"/>
    </row>
    <row r="105" spans="1:12" s="9" customFormat="1">
      <c r="A105" s="1"/>
      <c r="D105" s="5"/>
    </row>
    <row r="106" spans="1:12" s="9" customFormat="1">
      <c r="A106" s="1"/>
      <c r="D106" s="5"/>
    </row>
    <row r="107" spans="1:12" s="2" customFormat="1">
      <c r="A107" s="1" t="s">
        <v>0</v>
      </c>
      <c r="C107" s="2" t="s">
        <v>1</v>
      </c>
      <c r="D107" s="2" t="str">
        <f t="shared" ref="D107:L107" si="70">D$4</f>
        <v>RESIDENTIAL</v>
      </c>
      <c r="E107" s="2" t="str">
        <f t="shared" si="70"/>
        <v xml:space="preserve">GENERAL SVC. </v>
      </c>
      <c r="F107" s="2" t="str">
        <f t="shared" si="70"/>
        <v xml:space="preserve">GENERAL SVC. </v>
      </c>
      <c r="G107" s="2" t="str">
        <f t="shared" si="70"/>
        <v>LG. GEN. SVC.</v>
      </c>
      <c r="H107" s="2" t="str">
        <f t="shared" si="70"/>
        <v>LG. GEN. SVC.</v>
      </c>
      <c r="I107" s="2" t="str">
        <f t="shared" si="70"/>
        <v>EX LG GEN SVC</v>
      </c>
      <c r="J107" s="2" t="str">
        <f t="shared" si="70"/>
        <v>EX LG GEN SVC</v>
      </c>
      <c r="K107" s="2" t="str">
        <f t="shared" si="70"/>
        <v>PUMPING</v>
      </c>
      <c r="L107" s="2" t="str">
        <f t="shared" si="70"/>
        <v>ST &amp; AREA LTG</v>
      </c>
    </row>
    <row r="108" spans="1:12" s="2" customFormat="1">
      <c r="A108" s="1" t="s">
        <v>8</v>
      </c>
      <c r="C108" s="3" t="s">
        <v>9</v>
      </c>
      <c r="D108" s="3" t="str">
        <f t="shared" ref="D108:L108" si="71">D$5</f>
        <v>SCHEDULE 1</v>
      </c>
      <c r="E108" s="3" t="str">
        <f t="shared" si="71"/>
        <v>SCH. 11,12</v>
      </c>
      <c r="F108" s="3" t="str">
        <f t="shared" si="71"/>
        <v>SCH. 13</v>
      </c>
      <c r="G108" s="3" t="str">
        <f t="shared" si="71"/>
        <v>SCH. 21,22</v>
      </c>
      <c r="H108" s="3" t="str">
        <f t="shared" si="71"/>
        <v>SCH. 23</v>
      </c>
      <c r="I108" s="3" t="str">
        <f t="shared" si="71"/>
        <v>SCHEDULE 25</v>
      </c>
      <c r="J108" s="3" t="str">
        <f t="shared" si="71"/>
        <v>SCHEDULE 25I</v>
      </c>
      <c r="K108" s="3" t="str">
        <f t="shared" si="71"/>
        <v>SCH. 30, 31, 32</v>
      </c>
      <c r="L108" s="3" t="str">
        <f t="shared" si="71"/>
        <v>SCH. 41-48</v>
      </c>
    </row>
    <row r="109" spans="1:12" ht="12.75">
      <c r="B109" s="4" t="s">
        <v>43</v>
      </c>
      <c r="C109" s="11"/>
      <c r="D109" s="11"/>
      <c r="E109" s="11"/>
      <c r="F109" s="11"/>
      <c r="G109" s="11"/>
      <c r="H109" s="11"/>
      <c r="I109" s="11"/>
      <c r="J109" s="11"/>
      <c r="K109" s="11"/>
      <c r="L109" s="11"/>
    </row>
    <row r="110" spans="1:12">
      <c r="B110" s="5" t="str">
        <f>UPPER(CHOOSE(Base1_Billing2,$Q$9,$Q$10))&amp;" REVENUE"</f>
        <v>BASE TARIFF REVENUE</v>
      </c>
      <c r="C110" s="11"/>
      <c r="D110" s="11"/>
      <c r="E110" s="11"/>
      <c r="F110" s="11"/>
      <c r="G110" s="11"/>
      <c r="H110" s="11"/>
      <c r="I110" s="11"/>
      <c r="J110" s="11"/>
      <c r="K110" s="11"/>
      <c r="L110" s="11"/>
    </row>
    <row r="111" spans="1:12">
      <c r="B111" s="85" t="s">
        <v>33</v>
      </c>
      <c r="C111" s="11">
        <f t="shared" ref="C111:C122" ca="1" si="72">SUM(D111:L111)</f>
        <v>38569620</v>
      </c>
      <c r="D111" s="11">
        <f ca="1">D25*D59</f>
        <v>27381720</v>
      </c>
      <c r="E111" s="11">
        <f ca="1">E25*E59</f>
        <v>10418425</v>
      </c>
      <c r="F111" s="11">
        <f ca="1">F25*F59</f>
        <v>3800</v>
      </c>
      <c r="G111" s="11"/>
      <c r="H111" s="11">
        <f ca="1">H25*H59</f>
        <v>0</v>
      </c>
      <c r="I111" s="11"/>
      <c r="J111" s="11"/>
      <c r="K111" s="11">
        <f ca="1">K25*K59</f>
        <v>765675</v>
      </c>
      <c r="L111" s="11"/>
    </row>
    <row r="112" spans="1:12">
      <c r="B112" s="85" t="s">
        <v>34</v>
      </c>
      <c r="C112" s="12">
        <f t="shared" si="72"/>
        <v>0</v>
      </c>
      <c r="D112" s="12"/>
      <c r="E112" s="12"/>
      <c r="F112" s="12"/>
      <c r="G112" s="12"/>
      <c r="H112" s="12"/>
      <c r="I112" s="12"/>
      <c r="J112" s="12"/>
      <c r="K112" s="12"/>
      <c r="L112" s="12"/>
    </row>
    <row r="113" spans="1:12">
      <c r="B113" s="85" t="s">
        <v>18</v>
      </c>
      <c r="C113" s="12">
        <f t="shared" ca="1" si="72"/>
        <v>336307949.12000006</v>
      </c>
      <c r="D113" s="12">
        <f t="shared" ref="D113:K115" ca="1" si="73">ROUND(D8*D62/100,2)</f>
        <v>172000520.05000001</v>
      </c>
      <c r="E113" s="12">
        <f t="shared" ca="1" si="73"/>
        <v>59541786.310000002</v>
      </c>
      <c r="F113" s="12">
        <f t="shared" ref="F113" ca="1" si="74">ROUND(F8*F62/100,2)</f>
        <v>21809.08</v>
      </c>
      <c r="G113" s="12">
        <f t="shared" ca="1" si="73"/>
        <v>91489639.450000003</v>
      </c>
      <c r="H113" s="12">
        <f t="shared" ref="H113" ca="1" si="75">ROUND(H8*H62/100,2)</f>
        <v>18323.79</v>
      </c>
      <c r="I113" s="12">
        <f ca="1">ROUND(I8*I62/100,2)</f>
        <v>7103880</v>
      </c>
      <c r="J113" s="12">
        <f ca="1">ROUND(J8*J62/100,2)</f>
        <v>291480</v>
      </c>
      <c r="K113" s="12">
        <f t="shared" ca="1" si="73"/>
        <v>5840510.4400000004</v>
      </c>
      <c r="L113" s="12"/>
    </row>
    <row r="114" spans="1:12">
      <c r="B114" s="85" t="s">
        <v>19</v>
      </c>
      <c r="C114" s="12">
        <f t="shared" ca="1" si="72"/>
        <v>135628339.66</v>
      </c>
      <c r="D114" s="12">
        <f t="shared" ca="1" si="73"/>
        <v>67926957.900000006</v>
      </c>
      <c r="E114" s="12">
        <f t="shared" ca="1" si="73"/>
        <v>21780975.440000001</v>
      </c>
      <c r="F114" s="12">
        <f t="shared" ref="F114" ca="1" si="76">ROUND(F9*F63/100,2)</f>
        <v>26105.26</v>
      </c>
      <c r="G114" s="12">
        <f t="shared" ca="1" si="73"/>
        <v>9947283.5199999996</v>
      </c>
      <c r="H114" s="12">
        <f t="shared" ref="H114" ca="1" si="77">ROUND(H9*H63/100,2)</f>
        <v>23050.35</v>
      </c>
      <c r="I114" s="12">
        <f ca="1">ROUND(I9*I63/100,2)</f>
        <v>24508202.210000001</v>
      </c>
      <c r="J114" s="12">
        <f ca="1">ROUND(J9*J63/100,2)</f>
        <v>2881560</v>
      </c>
      <c r="K114" s="12">
        <f t="shared" ca="1" si="73"/>
        <v>8534204.9800000004</v>
      </c>
      <c r="L114" s="12"/>
    </row>
    <row r="115" spans="1:12">
      <c r="B115" s="85" t="s">
        <v>20</v>
      </c>
      <c r="C115" s="12">
        <f t="shared" ca="1" si="72"/>
        <v>66110129.809999995</v>
      </c>
      <c r="D115" s="12">
        <f ca="1">ROUND(D10*D64/100,2)</f>
        <v>52051597.689999998</v>
      </c>
      <c r="E115" s="12"/>
      <c r="F115" s="12"/>
      <c r="G115" s="12"/>
      <c r="H115" s="12"/>
      <c r="I115" s="12">
        <f t="shared" ca="1" si="73"/>
        <v>734498.36</v>
      </c>
      <c r="J115" s="12">
        <f t="shared" ref="J115" ca="1" si="78">ROUND(J10*J64/100,2)</f>
        <v>13324033.76</v>
      </c>
      <c r="K115" s="12"/>
      <c r="L115" s="12"/>
    </row>
    <row r="116" spans="1:12">
      <c r="B116" s="85" t="s">
        <v>21</v>
      </c>
      <c r="C116" s="12">
        <f t="shared" si="72"/>
        <v>0</v>
      </c>
      <c r="D116" s="12"/>
      <c r="E116" s="12"/>
      <c r="F116" s="12"/>
      <c r="G116" s="12"/>
      <c r="H116" s="12"/>
      <c r="I116" s="12"/>
      <c r="J116" s="12"/>
      <c r="K116" s="12"/>
      <c r="L116" s="12"/>
    </row>
    <row r="117" spans="1:12">
      <c r="B117" s="85" t="s">
        <v>40</v>
      </c>
      <c r="C117" s="12">
        <f t="shared" ca="1" si="72"/>
        <v>25354650</v>
      </c>
      <c r="D117" s="12"/>
      <c r="E117" s="12"/>
      <c r="F117" s="12"/>
      <c r="G117" s="12">
        <f ca="1">G25*G69</f>
        <v>15307500</v>
      </c>
      <c r="H117" s="12">
        <f ca="1">H25*H69</f>
        <v>27750</v>
      </c>
      <c r="I117" s="12">
        <f ca="1">I25*I69</f>
        <v>9651600</v>
      </c>
      <c r="J117" s="12">
        <f ca="1">J25*J69</f>
        <v>367800</v>
      </c>
      <c r="K117" s="12"/>
      <c r="L117" s="12"/>
    </row>
    <row r="118" spans="1:12">
      <c r="B118" s="85" t="s">
        <v>41</v>
      </c>
      <c r="C118" s="12">
        <f t="shared" ca="1" si="72"/>
        <v>41099378.230864286</v>
      </c>
      <c r="D118" s="12"/>
      <c r="E118" s="12">
        <f t="shared" ref="E118:J118" ca="1" si="79">E27*E70</f>
        <v>5102215.4914285708</v>
      </c>
      <c r="F118" s="12"/>
      <c r="G118" s="12">
        <f t="shared" ca="1" si="79"/>
        <v>23400003.370285716</v>
      </c>
      <c r="H118" s="12"/>
      <c r="I118" s="12">
        <f t="shared" ca="1" si="79"/>
        <v>6210328.8091499992</v>
      </c>
      <c r="J118" s="12">
        <f t="shared" ca="1" si="79"/>
        <v>6386830.5599999996</v>
      </c>
      <c r="K118" s="12"/>
      <c r="L118" s="12"/>
    </row>
    <row r="119" spans="1:12">
      <c r="A119" s="304"/>
      <c r="B119" s="85" t="s">
        <v>182</v>
      </c>
      <c r="C119" s="12">
        <f t="shared" si="72"/>
        <v>155293.65999999997</v>
      </c>
      <c r="D119" s="12"/>
      <c r="E119" s="419">
        <f>'Bill Determ'!G17*0.5</f>
        <v>0</v>
      </c>
      <c r="F119" s="419">
        <f>'Bill Determ'!G27*0.5</f>
        <v>0</v>
      </c>
      <c r="G119" s="419">
        <f>('Bill Determ'!G38)*0.5</f>
        <v>155293.65999999997</v>
      </c>
      <c r="H119" s="419">
        <f>('Bill Determ'!G49)*0.5</f>
        <v>0</v>
      </c>
      <c r="I119" s="419"/>
      <c r="J119" s="419"/>
      <c r="K119" s="419">
        <f>'Bill Determ'!G66*0.5</f>
        <v>0</v>
      </c>
      <c r="L119" s="105"/>
    </row>
    <row r="120" spans="1:12">
      <c r="A120" s="304"/>
      <c r="B120" s="85" t="s">
        <v>183</v>
      </c>
      <c r="C120" s="12">
        <f t="shared" si="72"/>
        <v>-1688039.6926</v>
      </c>
      <c r="D120" s="12"/>
      <c r="E120" s="105"/>
      <c r="F120" s="105"/>
      <c r="G120" s="419">
        <f>'REVRUNS 12ME0623'!P443+'REVRUNS 12ME0623'!P450</f>
        <v>-59305.920000000006</v>
      </c>
      <c r="H120" s="419">
        <f>'REVRUNS 12ME0623'!P457</f>
        <v>0</v>
      </c>
      <c r="I120" s="105">
        <f>'WA Sch 25'!P102</f>
        <v>-230075.97100000002</v>
      </c>
      <c r="J120" s="105">
        <f>'WA Sch 25'!P113</f>
        <v>-1398657.8015999999</v>
      </c>
      <c r="K120" s="105"/>
      <c r="L120" s="105"/>
    </row>
    <row r="121" spans="1:12" ht="12.75">
      <c r="A121" s="299"/>
      <c r="B121" s="85" t="s">
        <v>184</v>
      </c>
      <c r="C121" s="12">
        <f t="shared" si="72"/>
        <v>0</v>
      </c>
      <c r="D121" s="12"/>
      <c r="E121" s="105"/>
      <c r="F121" s="105"/>
      <c r="G121" s="105"/>
      <c r="H121" s="105"/>
      <c r="I121" s="105">
        <f>'WA Sch 25'!T153</f>
        <v>0</v>
      </c>
      <c r="J121" s="344"/>
      <c r="K121" s="105"/>
      <c r="L121" s="105"/>
    </row>
    <row r="122" spans="1:12">
      <c r="A122" s="300"/>
      <c r="B122" s="85" t="s">
        <v>185</v>
      </c>
      <c r="C122" s="97">
        <f t="shared" si="72"/>
        <v>7946358.962340001</v>
      </c>
      <c r="D122" s="238"/>
      <c r="E122" s="239"/>
      <c r="F122" s="239"/>
      <c r="G122" s="239"/>
      <c r="H122" s="239"/>
      <c r="I122" s="239"/>
      <c r="J122" s="239"/>
      <c r="K122" s="239"/>
      <c r="L122" s="240">
        <f>'Lighting summary'!D19</f>
        <v>7946358.962340001</v>
      </c>
    </row>
    <row r="123" spans="1:12">
      <c r="C123" s="11"/>
      <c r="D123" s="11"/>
      <c r="E123" s="11"/>
      <c r="F123" s="11"/>
      <c r="G123" s="11"/>
      <c r="H123" s="11"/>
      <c r="I123" s="11"/>
      <c r="J123" s="11"/>
      <c r="K123" s="11"/>
      <c r="L123" s="11"/>
    </row>
    <row r="124" spans="1:12">
      <c r="B124" s="5" t="s">
        <v>23</v>
      </c>
      <c r="C124" s="11">
        <f ca="1">IF(ROUND(SUM(C111:C122),3)&lt;&gt;ROUND(SUM(D124:L124),3),#VALUE!,SUM(D124:L124))</f>
        <v>649483679.75060403</v>
      </c>
      <c r="D124" s="11">
        <f t="shared" ref="D124:L124" ca="1" si="80">SUM(D111:D122)</f>
        <v>319360795.63999999</v>
      </c>
      <c r="E124" s="11">
        <f t="shared" ca="1" si="80"/>
        <v>96843402.241428569</v>
      </c>
      <c r="F124" s="11">
        <f t="shared" ref="F124" ca="1" si="81">SUM(F111:F122)</f>
        <v>51714.34</v>
      </c>
      <c r="G124" s="11">
        <f t="shared" ca="1" si="80"/>
        <v>140240414.08028573</v>
      </c>
      <c r="H124" s="11">
        <f t="shared" ref="H124" ca="1" si="82">SUM(H111:H122)</f>
        <v>69124.14</v>
      </c>
      <c r="I124" s="11">
        <f t="shared" ca="1" si="80"/>
        <v>47978433.408150002</v>
      </c>
      <c r="J124" s="11">
        <f t="shared" ref="J124" ca="1" si="83">SUM(J111:J122)</f>
        <v>21853046.518399999</v>
      </c>
      <c r="K124" s="11">
        <f t="shared" ca="1" si="80"/>
        <v>15140390.420000002</v>
      </c>
      <c r="L124" s="11">
        <f t="shared" si="80"/>
        <v>7946358.962340001</v>
      </c>
    </row>
    <row r="125" spans="1:12">
      <c r="B125" s="84"/>
      <c r="C125" s="97">
        <f ca="1">SUM(D125:L125)</f>
        <v>0</v>
      </c>
      <c r="D125" s="97">
        <f ca="1">ROUND(D15*D67/100,2)</f>
        <v>0</v>
      </c>
      <c r="E125" s="97">
        <f ca="1">ROUND(E15*E67/100,2)</f>
        <v>0</v>
      </c>
      <c r="F125" s="97">
        <f>ROUND(F15*F67/100,2)</f>
        <v>0</v>
      </c>
      <c r="G125" s="97">
        <f ca="1">ROUND(G15*G67/100,2)</f>
        <v>0</v>
      </c>
      <c r="H125" s="97">
        <f>ROUND(H15*H67/100,2)</f>
        <v>0</v>
      </c>
      <c r="I125" s="97">
        <f ca="1">ROUND(I15*I63/100,2)</f>
        <v>0</v>
      </c>
      <c r="J125" s="97">
        <f ca="1">ROUND(J15*J63/100,2)</f>
        <v>0</v>
      </c>
      <c r="K125" s="97">
        <f ca="1">ROUND(K15*K67/100,2)</f>
        <v>0</v>
      </c>
      <c r="L125" s="97"/>
    </row>
    <row r="126" spans="1:12">
      <c r="C126" s="11"/>
      <c r="D126" s="11"/>
      <c r="E126" s="11"/>
      <c r="F126" s="11"/>
      <c r="G126" s="11"/>
      <c r="H126" s="11"/>
      <c r="I126" s="11"/>
      <c r="J126" s="11"/>
      <c r="K126" s="11"/>
      <c r="L126" s="11"/>
    </row>
    <row r="127" spans="1:12">
      <c r="B127" s="5" t="s">
        <v>23</v>
      </c>
      <c r="C127" s="11">
        <f ca="1">SUM(D127:L127)</f>
        <v>649483679.75060403</v>
      </c>
      <c r="D127" s="11">
        <f t="shared" ref="D127:L127" ca="1" si="84">D124+D125</f>
        <v>319360795.63999999</v>
      </c>
      <c r="E127" s="11">
        <f t="shared" ca="1" si="84"/>
        <v>96843402.241428569</v>
      </c>
      <c r="F127" s="11">
        <f t="shared" ref="F127" ca="1" si="85">F124+F125</f>
        <v>51714.34</v>
      </c>
      <c r="G127" s="11">
        <f t="shared" ca="1" si="84"/>
        <v>140240414.08028573</v>
      </c>
      <c r="H127" s="11">
        <f t="shared" ref="H127" ca="1" si="86">H124+H125</f>
        <v>69124.14</v>
      </c>
      <c r="I127" s="11">
        <f t="shared" ca="1" si="84"/>
        <v>47978433.408150002</v>
      </c>
      <c r="J127" s="11">
        <f t="shared" ref="J127" ca="1" si="87">J124+J125</f>
        <v>21853046.518399999</v>
      </c>
      <c r="K127" s="11">
        <f t="shared" ca="1" si="84"/>
        <v>15140390.420000002</v>
      </c>
      <c r="L127" s="11">
        <f t="shared" si="84"/>
        <v>7946358.962340001</v>
      </c>
    </row>
    <row r="128" spans="1:12">
      <c r="B128" s="5" t="s">
        <v>44</v>
      </c>
      <c r="C128" s="97">
        <f ca="1">SUM(D128:L128)</f>
        <v>0</v>
      </c>
      <c r="D128" s="97">
        <f t="shared" ref="D128:L128" ca="1" si="88">ROUND(D18*D67/100,2)</f>
        <v>0</v>
      </c>
      <c r="E128" s="97">
        <f t="shared" ca="1" si="88"/>
        <v>0</v>
      </c>
      <c r="F128" s="97">
        <f t="shared" ref="F128" si="89">ROUND(F18*F67/100,2)</f>
        <v>0</v>
      </c>
      <c r="G128" s="97">
        <f t="shared" ca="1" si="88"/>
        <v>0</v>
      </c>
      <c r="H128" s="97">
        <f t="shared" ref="H128" si="90">ROUND(H18*H67/100,2)</f>
        <v>0</v>
      </c>
      <c r="I128" s="97">
        <f t="shared" si="88"/>
        <v>0</v>
      </c>
      <c r="J128" s="97">
        <f t="shared" ref="J128" si="91">ROUND(J18*J67/100,2)</f>
        <v>0</v>
      </c>
      <c r="K128" s="97">
        <f t="shared" ca="1" si="88"/>
        <v>0</v>
      </c>
      <c r="L128" s="97">
        <f t="shared" si="88"/>
        <v>0</v>
      </c>
    </row>
    <row r="129" spans="1:19">
      <c r="C129" s="11"/>
      <c r="D129" s="11"/>
      <c r="E129" s="11"/>
      <c r="F129" s="11"/>
      <c r="G129" s="11"/>
      <c r="H129" s="11"/>
      <c r="I129" s="11"/>
      <c r="J129" s="11"/>
      <c r="K129" s="11"/>
      <c r="L129" s="11"/>
    </row>
    <row r="130" spans="1:19">
      <c r="B130" s="5" t="str">
        <f>"TOTAL "&amp;UPPER(CHOOSE(Base1_Billing2,$Q$9,$Q$10))&amp;" REVENUE"</f>
        <v>TOTAL BASE TARIFF REVENUE</v>
      </c>
      <c r="C130" s="11">
        <f ca="1">IF(ROUND(SUM(D130:L130),3)&lt;&gt;ROUND(SUM(C127:C128),3),#VALUE!,SUM(D130:L130))</f>
        <v>649483679.75060403</v>
      </c>
      <c r="D130" s="11">
        <f t="shared" ref="D130:K130" ca="1" si="92">D127+D128</f>
        <v>319360795.63999999</v>
      </c>
      <c r="E130" s="11">
        <f t="shared" ca="1" si="92"/>
        <v>96843402.241428569</v>
      </c>
      <c r="F130" s="11">
        <f t="shared" ref="F130" ca="1" si="93">F127+F128</f>
        <v>51714.34</v>
      </c>
      <c r="G130" s="11">
        <f t="shared" ca="1" si="92"/>
        <v>140240414.08028573</v>
      </c>
      <c r="H130" s="11">
        <f t="shared" ref="H130" ca="1" si="94">H127+H128</f>
        <v>69124.14</v>
      </c>
      <c r="I130" s="11">
        <f t="shared" ca="1" si="92"/>
        <v>47978433.408150002</v>
      </c>
      <c r="J130" s="11">
        <f t="shared" ref="J130" ca="1" si="95">J127+J128</f>
        <v>21853046.518399999</v>
      </c>
      <c r="K130" s="11">
        <f t="shared" ca="1" si="92"/>
        <v>15140390.420000002</v>
      </c>
      <c r="L130" s="11">
        <f>L127+L128</f>
        <v>7946358.962340001</v>
      </c>
    </row>
    <row r="131" spans="1:19">
      <c r="C131" s="11"/>
      <c r="D131" s="11"/>
      <c r="E131" s="11"/>
      <c r="F131" s="11"/>
      <c r="G131" s="11"/>
      <c r="H131" s="11"/>
      <c r="I131" s="11"/>
      <c r="J131" s="11"/>
      <c r="K131" s="11"/>
      <c r="L131" s="11"/>
    </row>
    <row r="132" spans="1:19">
      <c r="B132" s="5" t="s">
        <v>45</v>
      </c>
      <c r="C132" s="11"/>
      <c r="D132" s="11"/>
      <c r="E132" s="11"/>
      <c r="F132" s="11"/>
      <c r="G132" s="11"/>
      <c r="H132" s="11"/>
      <c r="I132" s="11"/>
      <c r="J132" s="11"/>
      <c r="K132" s="11"/>
      <c r="L132" s="11"/>
    </row>
    <row r="133" spans="1:19">
      <c r="B133" s="184" t="s">
        <v>46</v>
      </c>
      <c r="C133" s="11"/>
      <c r="D133" s="11"/>
      <c r="E133" s="11"/>
      <c r="F133" s="11"/>
      <c r="G133" s="11"/>
      <c r="H133" s="11"/>
      <c r="I133" s="11"/>
      <c r="J133" s="11"/>
      <c r="K133" s="11"/>
      <c r="L133" s="11"/>
      <c r="O133" s="393">
        <f>D8/$D$14</f>
        <v>0.64358901881336761</v>
      </c>
      <c r="Q133" s="8">
        <f>$D$134*O133</f>
        <v>-13095272.455351463</v>
      </c>
      <c r="S133" s="394">
        <f ca="1">Q133*(D62/100)</f>
        <v>-1310574.8673315742</v>
      </c>
    </row>
    <row r="134" spans="1:19" s="12" customFormat="1">
      <c r="A134" s="301"/>
      <c r="B134" s="86" t="s">
        <v>396</v>
      </c>
      <c r="C134" s="12">
        <f>SUM(D134:L134)</f>
        <v>-42385064</v>
      </c>
      <c r="D134" s="419">
        <f>'REVRUNS 12ME0623'!P397</f>
        <v>-20347259</v>
      </c>
      <c r="E134" s="419">
        <f>'REVRUNS 12ME0623'!P398</f>
        <v>-6705916</v>
      </c>
      <c r="F134" s="419">
        <f>'REVRUNS 12ME0623'!P399</f>
        <v>0</v>
      </c>
      <c r="G134" s="419">
        <f>'REVRUNS 12ME0623'!P400</f>
        <v>-15474501</v>
      </c>
      <c r="H134" s="419">
        <f>'REVRUNS 12ME0623'!P401</f>
        <v>0</v>
      </c>
      <c r="I134" s="419"/>
      <c r="J134" s="419"/>
      <c r="K134" s="419">
        <f>'REVRUNS 12ME0623'!P404</f>
        <v>142612</v>
      </c>
      <c r="L134" s="344"/>
      <c r="O134" s="393">
        <f>D9/$D$14</f>
        <v>0.21632062889429149</v>
      </c>
      <c r="P134" s="5"/>
      <c r="Q134" s="8">
        <f>$D$134*O134</f>
        <v>-4401531.8631550325</v>
      </c>
      <c r="R134" s="5"/>
      <c r="S134" s="394">
        <f ca="1">Q134*(D63/100)</f>
        <v>-517576.13178840029</v>
      </c>
    </row>
    <row r="135" spans="1:19" s="10" customFormat="1">
      <c r="A135" s="303"/>
      <c r="B135" s="87" t="s">
        <v>397</v>
      </c>
      <c r="D135" s="10">
        <f ca="1">D67</f>
        <v>10.933970337453877</v>
      </c>
      <c r="E135" s="10">
        <f ca="1">E67</f>
        <v>11.605053261935407</v>
      </c>
      <c r="F135" s="10">
        <f>F67</f>
        <v>0</v>
      </c>
      <c r="G135" s="10">
        <f ca="1">G67</f>
        <v>7.6533332833436667</v>
      </c>
      <c r="H135" s="10">
        <f>H67</f>
        <v>0</v>
      </c>
      <c r="K135" s="185">
        <f ca="1">K67</f>
        <v>9.7467945379093965</v>
      </c>
      <c r="O135" s="398">
        <f>D10/$D$14</f>
        <v>0.14009035229234088</v>
      </c>
      <c r="P135" s="12"/>
      <c r="Q135" s="396">
        <f>$D$134*O135</f>
        <v>-2850454.6814935035</v>
      </c>
      <c r="R135" s="99"/>
      <c r="S135" s="397">
        <f ca="1">Q135*(D64/100)</f>
        <v>-396612.26438300603</v>
      </c>
    </row>
    <row r="136" spans="1:19" s="11" customFormat="1">
      <c r="A136" s="303"/>
      <c r="B136" s="88" t="s">
        <v>398</v>
      </c>
      <c r="C136" s="11">
        <f ca="1">SUM(D136:L136)</f>
        <v>-4173403.4199999995</v>
      </c>
      <c r="D136" s="186">
        <f ca="1">ROUND(D134*D135/100,2)</f>
        <v>-2224763.2599999998</v>
      </c>
      <c r="E136" s="186">
        <f ca="1">ROUND(E134*E135/100,2)</f>
        <v>-778225.12</v>
      </c>
      <c r="F136" s="186">
        <f>ROUND(F134*F135/100,2)</f>
        <v>0</v>
      </c>
      <c r="G136" s="186">
        <f ca="1">ROUND(G134*G135/100,2)</f>
        <v>-1184315.1399999999</v>
      </c>
      <c r="H136" s="186">
        <f>ROUND(H134*H135/100,2)</f>
        <v>0</v>
      </c>
      <c r="I136" s="186"/>
      <c r="J136" s="186"/>
      <c r="K136" s="186">
        <f ca="1">ROUND(K134*K135/100,2)</f>
        <v>13900.1</v>
      </c>
      <c r="L136" s="186"/>
      <c r="O136" s="393">
        <f>SUM(O133:O135)</f>
        <v>1</v>
      </c>
      <c r="P136" s="10"/>
      <c r="Q136" s="8">
        <f>SUM(Q133:Q135)</f>
        <v>-20347258.999999996</v>
      </c>
      <c r="R136" s="10"/>
      <c r="S136" s="394">
        <f ca="1">SUM(S133:S135)</f>
        <v>-2224763.2635029806</v>
      </c>
    </row>
    <row r="137" spans="1:19" s="11" customFormat="1">
      <c r="A137" s="303"/>
      <c r="B137" s="88"/>
    </row>
    <row r="138" spans="1:19" s="8" customFormat="1" ht="11.25" customHeight="1">
      <c r="A138" s="724"/>
      <c r="B138" s="725" t="s">
        <v>186</v>
      </c>
      <c r="C138" s="726">
        <f>SUM(D138:L138)</f>
        <v>0</v>
      </c>
      <c r="D138" s="727">
        <v>0</v>
      </c>
      <c r="E138" s="727">
        <v>0</v>
      </c>
      <c r="F138" s="727">
        <v>0</v>
      </c>
      <c r="G138" s="727">
        <v>0</v>
      </c>
      <c r="H138" s="727">
        <v>0</v>
      </c>
      <c r="I138" s="102"/>
      <c r="J138" s="102"/>
      <c r="K138" s="102"/>
      <c r="L138" s="102"/>
    </row>
    <row r="139" spans="1:19" s="10" customFormat="1" ht="11.25" customHeight="1">
      <c r="A139" s="303"/>
      <c r="B139" s="87" t="s">
        <v>187</v>
      </c>
      <c r="D139" s="185">
        <f ca="1">I226</f>
        <v>12.606040985991843</v>
      </c>
      <c r="E139" s="185">
        <f ca="1">I245</f>
        <v>9.2936501115536707</v>
      </c>
      <c r="F139" s="185">
        <f>J245</f>
        <v>0</v>
      </c>
      <c r="G139" s="10">
        <f ca="1">G278</f>
        <v>7.7449999998732162</v>
      </c>
      <c r="H139" s="10">
        <f>H278</f>
        <v>0</v>
      </c>
    </row>
    <row r="140" spans="1:19" s="11" customFormat="1" ht="11.25" customHeight="1">
      <c r="A140" s="303"/>
      <c r="B140" s="88" t="s">
        <v>188</v>
      </c>
      <c r="C140" s="11">
        <f ca="1">SUM(D140:L140)</f>
        <v>0</v>
      </c>
      <c r="D140" s="188">
        <f ca="1">ROUND(D138*D139/100,2)</f>
        <v>0</v>
      </c>
      <c r="E140" s="188">
        <f ca="1">ROUND(E138*E139/100,2)</f>
        <v>0</v>
      </c>
      <c r="F140" s="188">
        <f>ROUND(F138*F139/100,2)</f>
        <v>0</v>
      </c>
      <c r="G140" s="188">
        <f ca="1">ROUND(G138*G139/100,2)</f>
        <v>0</v>
      </c>
      <c r="H140" s="188">
        <f>ROUND(H138*H139/100,2)</f>
        <v>0</v>
      </c>
      <c r="I140" s="186"/>
      <c r="J140" s="186"/>
      <c r="K140" s="186"/>
      <c r="L140" s="186"/>
    </row>
    <row r="141" spans="1:19" s="11" customFormat="1" ht="11.25" customHeight="1">
      <c r="A141" s="303"/>
      <c r="B141" s="88"/>
      <c r="D141" s="106"/>
      <c r="E141" s="106"/>
      <c r="F141" s="106"/>
    </row>
    <row r="142" spans="1:19" s="7" customFormat="1">
      <c r="A142" s="301"/>
      <c r="B142" s="89" t="s">
        <v>189</v>
      </c>
      <c r="C142" s="12">
        <f>IF(ROUND(C134+C138,3)&lt;&gt;ROUND(SUM(D142:L142),3),#VALUE!,C134+C138)</f>
        <v>-42385064</v>
      </c>
      <c r="D142" s="105">
        <f>D134+D138</f>
        <v>-20347259</v>
      </c>
      <c r="E142" s="105">
        <f>E134+E138</f>
        <v>-6705916</v>
      </c>
      <c r="F142" s="105">
        <f>F134+F138</f>
        <v>0</v>
      </c>
      <c r="G142" s="12">
        <f>G134+G138</f>
        <v>-15474501</v>
      </c>
      <c r="H142" s="12">
        <f>H134+H138</f>
        <v>0</v>
      </c>
      <c r="I142" s="12"/>
      <c r="J142" s="12"/>
      <c r="K142" s="12">
        <f>K134+K138</f>
        <v>142612</v>
      </c>
      <c r="L142" s="12"/>
    </row>
    <row r="143" spans="1:19" s="11" customFormat="1">
      <c r="A143" s="303"/>
      <c r="B143" s="88" t="s">
        <v>190</v>
      </c>
      <c r="C143" s="11">
        <f ca="1">IF(ROUND(C136+C140,3)&lt;&gt;ROUND(SUM(D143:L143),3),#VALUE!,C136+C140)</f>
        <v>-4173403.4199999995</v>
      </c>
      <c r="D143" s="106">
        <f ca="1">D136+D140</f>
        <v>-2224763.2599999998</v>
      </c>
      <c r="E143" s="106">
        <f ca="1">E136+E140</f>
        <v>-778225.12</v>
      </c>
      <c r="F143" s="106">
        <f>F136+F140</f>
        <v>0</v>
      </c>
      <c r="G143" s="11">
        <f ca="1">G136+G140</f>
        <v>-1184315.1399999999</v>
      </c>
      <c r="H143" s="11">
        <f>H136+H140</f>
        <v>0</v>
      </c>
      <c r="K143" s="11">
        <f ca="1">K136+K140</f>
        <v>13900.1</v>
      </c>
    </row>
    <row r="144" spans="1:19" ht="12.75">
      <c r="A144" s="302"/>
      <c r="B144" s="184" t="s">
        <v>47</v>
      </c>
      <c r="C144" s="11"/>
      <c r="D144" s="106"/>
      <c r="E144" s="106"/>
      <c r="F144" s="106"/>
      <c r="G144" s="11"/>
      <c r="H144" s="11"/>
      <c r="I144" s="11"/>
      <c r="J144" s="11"/>
      <c r="K144" s="11"/>
      <c r="L144" s="11"/>
    </row>
    <row r="145" spans="1:12" s="8" customFormat="1">
      <c r="A145" s="698"/>
      <c r="B145" s="699" t="s">
        <v>186</v>
      </c>
      <c r="C145" s="700">
        <f>SUM(D145:L145)</f>
        <v>-112314908</v>
      </c>
      <c r="D145" s="697">
        <v>-63078988</v>
      </c>
      <c r="E145" s="697">
        <v>-16347549</v>
      </c>
      <c r="F145" s="697">
        <v>0</v>
      </c>
      <c r="G145" s="697">
        <v>-25995650</v>
      </c>
      <c r="H145" s="697">
        <v>0</v>
      </c>
      <c r="I145" s="697"/>
      <c r="J145" s="697"/>
      <c r="K145" s="697">
        <v>-6892721</v>
      </c>
      <c r="L145" s="701"/>
    </row>
    <row r="146" spans="1:12" s="10" customFormat="1">
      <c r="A146" s="698"/>
      <c r="B146" s="699" t="s">
        <v>187</v>
      </c>
      <c r="C146" s="702"/>
      <c r="D146" s="703">
        <f ca="1">I226</f>
        <v>12.606040985991843</v>
      </c>
      <c r="E146" s="703">
        <f ca="1">E63</f>
        <v>9.2929999999999993</v>
      </c>
      <c r="F146" s="703">
        <f>J245</f>
        <v>0</v>
      </c>
      <c r="G146" s="703">
        <f ca="1">G63</f>
        <v>6.9020000000000001</v>
      </c>
      <c r="H146" s="703">
        <f>H278</f>
        <v>0</v>
      </c>
      <c r="I146" s="703"/>
      <c r="J146" s="703"/>
      <c r="K146" s="703">
        <f ca="1">K63</f>
        <v>8.5579999999999998</v>
      </c>
      <c r="L146" s="703"/>
    </row>
    <row r="147" spans="1:12" s="11" customFormat="1">
      <c r="A147" s="1"/>
      <c r="B147" s="88" t="s">
        <v>188</v>
      </c>
      <c r="C147" s="11">
        <f ca="1">SUM(D147:L147)</f>
        <v>-11855039.630000001</v>
      </c>
      <c r="D147" s="186">
        <f ca="1">ROUND(D145*D146/100,2)</f>
        <v>-7951763.0800000001</v>
      </c>
      <c r="E147" s="186">
        <f ca="1">ROUND(E145*E146/100,2)</f>
        <v>-1519177.73</v>
      </c>
      <c r="F147" s="186">
        <f>ROUND(F145*F146/100,2)</f>
        <v>0</v>
      </c>
      <c r="G147" s="186">
        <f ca="1">ROUND(G145*G146/100,2)</f>
        <v>-1794219.76</v>
      </c>
      <c r="H147" s="186">
        <f>ROUND(H145*H146/100,2)</f>
        <v>0</v>
      </c>
      <c r="I147" s="186"/>
      <c r="J147" s="186"/>
      <c r="K147" s="186">
        <f t="shared" ref="K147" ca="1" si="96">ROUND(K145*K146/100,2)</f>
        <v>-589879.06000000006</v>
      </c>
      <c r="L147" s="186"/>
    </row>
    <row r="148" spans="1:12">
      <c r="C148" s="11"/>
      <c r="D148" s="11"/>
      <c r="E148" s="11"/>
      <c r="F148" s="11"/>
      <c r="G148" s="11"/>
      <c r="H148" s="11"/>
      <c r="I148" s="11"/>
      <c r="J148" s="11"/>
      <c r="K148" s="11"/>
      <c r="L148" s="11"/>
    </row>
    <row r="149" spans="1:12">
      <c r="B149" s="5" t="s">
        <v>48</v>
      </c>
      <c r="C149" s="11">
        <f ca="1">IF(ROUND(C143+C147,3)&lt;&gt;ROUND(SUM(D149:L149),3),#VALUE!,C143+C147)</f>
        <v>-16028443.050000001</v>
      </c>
      <c r="D149" s="11">
        <f ca="1">D147+D143</f>
        <v>-10176526.34</v>
      </c>
      <c r="E149" s="11">
        <f ca="1">E147+E143</f>
        <v>-2297402.85</v>
      </c>
      <c r="F149" s="11">
        <f>F147+F143</f>
        <v>0</v>
      </c>
      <c r="G149" s="11">
        <f ca="1">G147+G143</f>
        <v>-2978534.9</v>
      </c>
      <c r="H149" s="11">
        <f>H147+H143</f>
        <v>0</v>
      </c>
      <c r="I149" s="11"/>
      <c r="J149" s="11"/>
      <c r="K149" s="11">
        <f ca="1">K147+K143</f>
        <v>-575978.96000000008</v>
      </c>
      <c r="L149" s="11"/>
    </row>
    <row r="150" spans="1:12">
      <c r="B150" s="5" t="str">
        <f>B130</f>
        <v>TOTAL BASE TARIFF REVENUE</v>
      </c>
      <c r="C150" s="12">
        <f t="shared" ref="C150:K150" ca="1" si="97">C130</f>
        <v>649483679.75060403</v>
      </c>
      <c r="D150" s="12">
        <f t="shared" ca="1" si="97"/>
        <v>319360795.63999999</v>
      </c>
      <c r="E150" s="12">
        <f t="shared" ca="1" si="97"/>
        <v>96843402.241428569</v>
      </c>
      <c r="F150" s="12">
        <f t="shared" ref="F150" ca="1" si="98">F130</f>
        <v>51714.34</v>
      </c>
      <c r="G150" s="12">
        <f t="shared" ca="1" si="97"/>
        <v>140240414.08028573</v>
      </c>
      <c r="H150" s="12">
        <f t="shared" ref="H150" ca="1" si="99">H130</f>
        <v>69124.14</v>
      </c>
      <c r="I150" s="12">
        <f t="shared" ca="1" si="97"/>
        <v>47978433.408150002</v>
      </c>
      <c r="J150" s="12">
        <f t="shared" ref="J150" ca="1" si="100">J130</f>
        <v>21853046.518399999</v>
      </c>
      <c r="K150" s="12">
        <f t="shared" ca="1" si="97"/>
        <v>15140390.420000002</v>
      </c>
      <c r="L150" s="12">
        <f>L130</f>
        <v>7946358.962340001</v>
      </c>
    </row>
    <row r="151" spans="1:12">
      <c r="C151" s="186"/>
      <c r="D151" s="186"/>
      <c r="E151" s="186"/>
      <c r="F151" s="186"/>
      <c r="G151" s="186"/>
      <c r="H151" s="186"/>
      <c r="I151" s="186"/>
      <c r="J151" s="186"/>
      <c r="K151" s="186"/>
      <c r="L151" s="186"/>
    </row>
    <row r="152" spans="1:12">
      <c r="B152" s="5" t="s">
        <v>49</v>
      </c>
      <c r="C152" s="11">
        <f ca="1">IF(ROUND(C149+C150,3)&lt;&gt;ROUND(SUM(D152:L152),3),#VALUE!,SUM(D152:L152))</f>
        <v>633455236.7006042</v>
      </c>
      <c r="D152" s="11">
        <f t="shared" ref="D152:K152" ca="1" si="101">D149+D150</f>
        <v>309184269.30000001</v>
      </c>
      <c r="E152" s="11">
        <f t="shared" ca="1" si="101"/>
        <v>94545999.391428575</v>
      </c>
      <c r="F152" s="11">
        <f t="shared" ref="F152" ca="1" si="102">F149+F150</f>
        <v>51714.34</v>
      </c>
      <c r="G152" s="11">
        <f t="shared" ca="1" si="101"/>
        <v>137261879.18028572</v>
      </c>
      <c r="H152" s="11">
        <f t="shared" ref="H152" ca="1" si="103">H149+H150</f>
        <v>69124.14</v>
      </c>
      <c r="I152" s="11">
        <f t="shared" ca="1" si="101"/>
        <v>47978433.408150002</v>
      </c>
      <c r="J152" s="11">
        <f t="shared" ref="J152" ca="1" si="104">J149+J150</f>
        <v>21853046.518399999</v>
      </c>
      <c r="K152" s="11">
        <f t="shared" ca="1" si="101"/>
        <v>14564411.460000001</v>
      </c>
      <c r="L152" s="11">
        <f>L149+L150</f>
        <v>7946358.962340001</v>
      </c>
    </row>
    <row r="153" spans="1:12">
      <c r="C153" s="11"/>
      <c r="D153" s="11"/>
      <c r="E153" s="210"/>
      <c r="F153" s="210"/>
      <c r="G153" s="11"/>
      <c r="H153" s="11"/>
      <c r="I153" s="11"/>
      <c r="J153" s="11"/>
      <c r="K153" s="11"/>
      <c r="L153" s="11"/>
    </row>
    <row r="154" spans="1:12">
      <c r="C154" s="11"/>
      <c r="D154" s="11"/>
      <c r="E154" s="11"/>
      <c r="F154" s="11"/>
      <c r="G154" s="11"/>
      <c r="H154" s="11"/>
      <c r="I154" s="11"/>
      <c r="J154" s="11"/>
      <c r="K154" s="11"/>
      <c r="L154" s="11"/>
    </row>
    <row r="155" spans="1:12">
      <c r="C155" s="501"/>
      <c r="D155" s="11"/>
      <c r="E155" s="11"/>
      <c r="F155" s="11"/>
      <c r="G155" s="11"/>
      <c r="H155" s="11"/>
      <c r="I155" s="11"/>
      <c r="J155" s="11"/>
      <c r="K155" s="11"/>
      <c r="L155" s="11"/>
    </row>
    <row r="156" spans="1:12">
      <c r="C156" s="11"/>
      <c r="D156" s="11"/>
      <c r="E156" s="11"/>
      <c r="F156" s="11"/>
      <c r="G156" s="11"/>
      <c r="H156" s="11"/>
      <c r="I156" s="11"/>
      <c r="J156" s="11"/>
      <c r="K156" s="11"/>
      <c r="L156" s="11"/>
    </row>
    <row r="157" spans="1:12">
      <c r="C157" s="11"/>
      <c r="D157" s="11"/>
      <c r="E157" s="11"/>
      <c r="F157" s="11"/>
      <c r="G157" s="11"/>
      <c r="H157" s="11"/>
      <c r="I157" s="11"/>
      <c r="J157" s="11"/>
      <c r="K157" s="11"/>
      <c r="L157" s="11"/>
    </row>
    <row r="158" spans="1:12">
      <c r="C158" s="11"/>
      <c r="D158" s="11"/>
      <c r="E158" s="11"/>
      <c r="F158" s="11"/>
      <c r="G158" s="11"/>
      <c r="H158" s="11"/>
      <c r="I158" s="11"/>
      <c r="J158" s="11"/>
      <c r="K158" s="11"/>
      <c r="L158" s="11"/>
    </row>
    <row r="159" spans="1:12">
      <c r="C159" s="11"/>
      <c r="D159" s="11"/>
      <c r="E159" s="11"/>
      <c r="F159" s="11"/>
      <c r="G159" s="11"/>
      <c r="H159" s="11"/>
      <c r="I159" s="11"/>
      <c r="J159" s="11"/>
      <c r="K159" s="11"/>
      <c r="L159" s="11"/>
    </row>
    <row r="160" spans="1:12" s="2" customFormat="1">
      <c r="A160" s="1" t="s">
        <v>0</v>
      </c>
      <c r="C160" s="2" t="s">
        <v>1</v>
      </c>
      <c r="D160" s="2" t="str">
        <f t="shared" ref="D160:L160" si="105">D$4</f>
        <v>RESIDENTIAL</v>
      </c>
      <c r="E160" s="2" t="str">
        <f t="shared" si="105"/>
        <v xml:space="preserve">GENERAL SVC. </v>
      </c>
      <c r="F160" s="2" t="str">
        <f t="shared" si="105"/>
        <v xml:space="preserve">GENERAL SVC. </v>
      </c>
      <c r="G160" s="2" t="str">
        <f t="shared" si="105"/>
        <v>LG. GEN. SVC.</v>
      </c>
      <c r="H160" s="2" t="str">
        <f t="shared" si="105"/>
        <v>LG. GEN. SVC.</v>
      </c>
      <c r="I160" s="2" t="str">
        <f t="shared" si="105"/>
        <v>EX LG GEN SVC</v>
      </c>
      <c r="J160" s="2" t="str">
        <f t="shared" si="105"/>
        <v>EX LG GEN SVC</v>
      </c>
      <c r="K160" s="2" t="str">
        <f t="shared" si="105"/>
        <v>PUMPING</v>
      </c>
      <c r="L160" s="2" t="str">
        <f t="shared" si="105"/>
        <v>ST &amp; AREA LTG</v>
      </c>
    </row>
    <row r="161" spans="1:12" s="2" customFormat="1">
      <c r="A161" s="1" t="s">
        <v>8</v>
      </c>
      <c r="C161" s="3" t="s">
        <v>9</v>
      </c>
      <c r="D161" s="3" t="str">
        <f t="shared" ref="D161:L161" si="106">D$5</f>
        <v>SCHEDULE 1</v>
      </c>
      <c r="E161" s="3" t="str">
        <f t="shared" si="106"/>
        <v>SCH. 11,12</v>
      </c>
      <c r="F161" s="3" t="str">
        <f t="shared" si="106"/>
        <v>SCH. 13</v>
      </c>
      <c r="G161" s="3" t="str">
        <f t="shared" si="106"/>
        <v>SCH. 21,22</v>
      </c>
      <c r="H161" s="3" t="str">
        <f t="shared" si="106"/>
        <v>SCH. 23</v>
      </c>
      <c r="I161" s="3" t="str">
        <f t="shared" si="106"/>
        <v>SCHEDULE 25</v>
      </c>
      <c r="J161" s="3" t="str">
        <f t="shared" si="106"/>
        <v>SCHEDULE 25I</v>
      </c>
      <c r="K161" s="3" t="str">
        <f t="shared" si="106"/>
        <v>SCH. 30, 31, 32</v>
      </c>
      <c r="L161" s="3" t="str">
        <f t="shared" si="106"/>
        <v>SCH. 41-48</v>
      </c>
    </row>
    <row r="162" spans="1:12" ht="12.75">
      <c r="B162" s="4" t="s">
        <v>50</v>
      </c>
      <c r="C162" s="11"/>
      <c r="D162" s="11"/>
      <c r="E162" s="11"/>
      <c r="F162" s="11"/>
      <c r="G162" s="11"/>
      <c r="H162" s="11"/>
      <c r="I162" s="11"/>
      <c r="J162" s="11"/>
      <c r="K162" s="11"/>
      <c r="L162" s="11"/>
    </row>
    <row r="163" spans="1:12">
      <c r="B163" s="5" t="str">
        <f>UPPER(CHOOSE(Base1_Billing2,$Q$9,$Q$10))&amp;" REVENUE"</f>
        <v>BASE TARIFF REVENUE</v>
      </c>
      <c r="C163" s="11"/>
      <c r="D163" s="11"/>
      <c r="E163" s="11"/>
      <c r="F163" s="11"/>
      <c r="G163" s="11"/>
      <c r="H163" s="11"/>
      <c r="I163" s="11"/>
      <c r="J163" s="11"/>
      <c r="K163" s="11"/>
      <c r="L163" s="11"/>
    </row>
    <row r="164" spans="1:12">
      <c r="B164" s="85" t="s">
        <v>33</v>
      </c>
      <c r="C164" s="11">
        <f t="shared" ref="C164:C175" ca="1" si="107">SUM(D164:L164)</f>
        <v>40807200</v>
      </c>
      <c r="D164" s="11">
        <f ca="1">D48*D76</f>
        <v>27381720</v>
      </c>
      <c r="E164" s="11">
        <f ca="1">E48*E76</f>
        <v>12502110</v>
      </c>
      <c r="F164" s="11">
        <f ca="1">F48*F76</f>
        <v>4560</v>
      </c>
      <c r="G164" s="11"/>
      <c r="H164" s="11">
        <f ca="1">H48*H76</f>
        <v>0</v>
      </c>
      <c r="I164" s="11"/>
      <c r="J164" s="11"/>
      <c r="K164" s="11">
        <f ca="1">K48*K76</f>
        <v>918810</v>
      </c>
      <c r="L164" s="11"/>
    </row>
    <row r="165" spans="1:12">
      <c r="B165" s="85" t="s">
        <v>34</v>
      </c>
      <c r="C165" s="12">
        <f t="shared" si="107"/>
        <v>0</v>
      </c>
      <c r="D165" s="12">
        <f>D49*D77</f>
        <v>0</v>
      </c>
      <c r="E165" s="12"/>
      <c r="F165" s="12"/>
      <c r="G165" s="12"/>
      <c r="H165" s="12"/>
      <c r="I165" s="12"/>
      <c r="J165" s="12"/>
      <c r="K165" s="12"/>
      <c r="L165" s="12"/>
    </row>
    <row r="166" spans="1:12">
      <c r="B166" s="85" t="s">
        <v>18</v>
      </c>
      <c r="C166" s="12">
        <f t="shared" ca="1" si="107"/>
        <v>371313977.89999998</v>
      </c>
      <c r="D166" s="12">
        <f t="shared" ref="D166:K168" ca="1" si="108">ROUND(D31*D79/100,2)</f>
        <v>201131303.56999999</v>
      </c>
      <c r="E166" s="12">
        <f t="shared" ca="1" si="108"/>
        <v>63384696.299999997</v>
      </c>
      <c r="F166" s="12">
        <f t="shared" ref="F166" ca="1" si="109">ROUND(F31*F79/100,2)</f>
        <v>24036.9</v>
      </c>
      <c r="G166" s="12">
        <f t="shared" ca="1" si="108"/>
        <v>93202486.159999996</v>
      </c>
      <c r="H166" s="12">
        <f t="shared" ref="H166" ca="1" si="110">ROUND(H31*H79/100,2)</f>
        <v>19213.189999999999</v>
      </c>
      <c r="I166" s="12">
        <f t="shared" ca="1" si="108"/>
        <v>6802740</v>
      </c>
      <c r="J166" s="12">
        <f ca="1">ROUND(J31*J79/100,2)</f>
        <v>299580</v>
      </c>
      <c r="K166" s="12">
        <f ca="1">ROUND(K31*K79/100,2)</f>
        <v>6449921.7800000003</v>
      </c>
      <c r="L166" s="12"/>
    </row>
    <row r="167" spans="1:12">
      <c r="B167" s="85" t="s">
        <v>19</v>
      </c>
      <c r="C167" s="12">
        <f t="shared" ca="1" si="107"/>
        <v>148666773.17999998</v>
      </c>
      <c r="D167" s="12">
        <f t="shared" ca="1" si="108"/>
        <v>79433931.290000007</v>
      </c>
      <c r="E167" s="12">
        <f t="shared" ca="1" si="108"/>
        <v>23187258.149999999</v>
      </c>
      <c r="F167" s="12">
        <f t="shared" ref="F167" ca="1" si="111">ROUND(F32*F80/100,2)</f>
        <v>28772.240000000002</v>
      </c>
      <c r="G167" s="12">
        <f t="shared" ca="1" si="108"/>
        <v>10133200.58</v>
      </c>
      <c r="H167" s="12">
        <f t="shared" ref="H167" ca="1" si="112">ROUND(H32*H80/100,2)</f>
        <v>24168.18</v>
      </c>
      <c r="I167" s="12">
        <f t="shared" ca="1" si="108"/>
        <v>23472303.48</v>
      </c>
      <c r="J167" s="12">
        <f t="shared" ref="J167" ca="1" si="113">ROUND(J32*J80/100,2)</f>
        <v>2961420</v>
      </c>
      <c r="K167" s="12">
        <f t="shared" ca="1" si="108"/>
        <v>9425719.2599999998</v>
      </c>
      <c r="L167" s="12"/>
    </row>
    <row r="168" spans="1:12">
      <c r="B168" s="85" t="s">
        <v>20</v>
      </c>
      <c r="C168" s="12">
        <f t="shared" ca="1" si="107"/>
        <v>75272277.670000002</v>
      </c>
      <c r="D168" s="12">
        <f ca="1">ROUND(D33*D81/100,2)</f>
        <v>60872761.07</v>
      </c>
      <c r="E168" s="12"/>
      <c r="F168" s="12"/>
      <c r="G168" s="12"/>
      <c r="H168" s="12"/>
      <c r="I168" s="12">
        <f t="shared" ca="1" si="108"/>
        <v>703383.08</v>
      </c>
      <c r="J168" s="12">
        <f t="shared" ref="J168" ca="1" si="114">ROUND(J33*J81/100,2)</f>
        <v>13696133.52</v>
      </c>
      <c r="K168" s="12"/>
      <c r="L168" s="12"/>
    </row>
    <row r="169" spans="1:12">
      <c r="B169" s="85" t="s">
        <v>21</v>
      </c>
      <c r="C169" s="12">
        <f t="shared" si="107"/>
        <v>0</v>
      </c>
      <c r="D169" s="12">
        <f>ROUND(D34*D82/100,2)</f>
        <v>0</v>
      </c>
      <c r="E169" s="12"/>
      <c r="F169" s="12"/>
      <c r="G169" s="12"/>
      <c r="H169" s="12"/>
      <c r="I169" s="12"/>
      <c r="J169" s="12"/>
      <c r="K169" s="12"/>
      <c r="L169" s="12"/>
    </row>
    <row r="170" spans="1:12">
      <c r="B170" s="85" t="s">
        <v>40</v>
      </c>
      <c r="C170" s="12">
        <f t="shared" ca="1" si="107"/>
        <v>30838538.759999998</v>
      </c>
      <c r="D170" s="12"/>
      <c r="E170" s="12"/>
      <c r="F170" s="12"/>
      <c r="G170" s="12">
        <f ca="1">ROUND(G48*G86,2)</f>
        <v>18369000</v>
      </c>
      <c r="H170" s="12">
        <f ca="1">ROUND(H48*H86,2)</f>
        <v>33300</v>
      </c>
      <c r="I170" s="12">
        <f ca="1">ROUND(I48*I86,2)</f>
        <v>12068438.76</v>
      </c>
      <c r="J170" s="12">
        <f ca="1">ROUND(J48*J86,2)</f>
        <v>367800</v>
      </c>
      <c r="K170" s="12"/>
      <c r="L170" s="12"/>
    </row>
    <row r="171" spans="1:12">
      <c r="B171" s="85" t="s">
        <v>41</v>
      </c>
      <c r="C171" s="12">
        <f t="shared" ca="1" si="107"/>
        <v>46554022.82</v>
      </c>
      <c r="D171" s="12"/>
      <c r="E171" s="12">
        <f t="shared" ref="E171:J171" ca="1" si="115">ROUND(E50*E87,2)</f>
        <v>5669128.3200000003</v>
      </c>
      <c r="F171" s="12"/>
      <c r="G171" s="12">
        <f ca="1">ROUND(G50*G87,2)</f>
        <v>26000003.739999998</v>
      </c>
      <c r="H171" s="12"/>
      <c r="I171" s="12">
        <f t="shared" ca="1" si="115"/>
        <v>7788412.3600000003</v>
      </c>
      <c r="J171" s="12">
        <f t="shared" ca="1" si="115"/>
        <v>7096478.4000000004</v>
      </c>
      <c r="K171" s="12"/>
      <c r="L171" s="12"/>
    </row>
    <row r="172" spans="1:12">
      <c r="B172" s="85" t="s">
        <v>182</v>
      </c>
      <c r="C172" s="12">
        <f t="shared" si="107"/>
        <v>155293.65999999997</v>
      </c>
      <c r="D172" s="12"/>
      <c r="E172" s="12">
        <f>E119</f>
        <v>0</v>
      </c>
      <c r="F172" s="12">
        <f>F119</f>
        <v>0</v>
      </c>
      <c r="G172" s="12">
        <f>G119</f>
        <v>155293.65999999997</v>
      </c>
      <c r="H172" s="12">
        <f>H119</f>
        <v>0</v>
      </c>
      <c r="I172" s="12"/>
      <c r="J172" s="12"/>
      <c r="K172" s="12">
        <f>K119</f>
        <v>0</v>
      </c>
      <c r="L172" s="12"/>
    </row>
    <row r="173" spans="1:12">
      <c r="B173" s="85" t="s">
        <v>183</v>
      </c>
      <c r="C173" s="12">
        <f t="shared" si="107"/>
        <v>-1688039.6926</v>
      </c>
      <c r="D173" s="12"/>
      <c r="E173" s="12"/>
      <c r="F173" s="12"/>
      <c r="G173" s="12">
        <f>G120</f>
        <v>-59305.920000000006</v>
      </c>
      <c r="H173" s="12">
        <f>H120</f>
        <v>0</v>
      </c>
      <c r="I173" s="105">
        <f>'WA Sch 25'!P107</f>
        <v>-230075.97100000002</v>
      </c>
      <c r="J173" s="105">
        <f>'WA Sch 25'!P118</f>
        <v>-1398657.8015999999</v>
      </c>
      <c r="K173" s="12"/>
      <c r="L173" s="12"/>
    </row>
    <row r="174" spans="1:12">
      <c r="B174" s="85" t="s">
        <v>184</v>
      </c>
      <c r="C174" s="12">
        <f t="shared" si="107"/>
        <v>0</v>
      </c>
      <c r="D174" s="12"/>
      <c r="E174" s="12"/>
      <c r="F174" s="12"/>
      <c r="G174" s="12"/>
      <c r="H174" s="12"/>
      <c r="I174" s="12">
        <v>0</v>
      </c>
      <c r="J174" s="12">
        <v>0</v>
      </c>
      <c r="K174" s="12"/>
      <c r="L174" s="12"/>
    </row>
    <row r="175" spans="1:12">
      <c r="A175" s="304"/>
      <c r="B175" s="85" t="s">
        <v>185</v>
      </c>
      <c r="C175" s="97">
        <f t="shared" si="107"/>
        <v>8815522.2023399994</v>
      </c>
      <c r="D175" s="97"/>
      <c r="E175" s="238"/>
      <c r="F175" s="238"/>
      <c r="G175" s="238"/>
      <c r="H175" s="238"/>
      <c r="I175" s="238"/>
      <c r="J175" s="238"/>
      <c r="K175" s="238"/>
      <c r="L175" s="240">
        <f>'Lighting summary'!G19</f>
        <v>8815522.2023399994</v>
      </c>
    </row>
    <row r="176" spans="1:12">
      <c r="C176" s="11"/>
      <c r="D176" s="11"/>
      <c r="E176" s="11"/>
      <c r="F176" s="11"/>
      <c r="G176" s="11"/>
      <c r="H176" s="11"/>
      <c r="I176" s="11"/>
      <c r="J176" s="11"/>
      <c r="K176" s="11"/>
      <c r="L176" s="11"/>
    </row>
    <row r="177" spans="1:12">
      <c r="B177" s="5" t="s">
        <v>23</v>
      </c>
      <c r="C177" s="11">
        <f ca="1">IF(ROUND(SUM(C164:C175),3)&lt;&gt;ROUND(SUM(D177:L177),3),#VALUE!,SUM(D177:L177))</f>
        <v>720735566.49973989</v>
      </c>
      <c r="D177" s="11">
        <f t="shared" ref="D177:L177" ca="1" si="116">SUM(D164:D175)</f>
        <v>368819715.93000001</v>
      </c>
      <c r="E177" s="11">
        <f t="shared" ca="1" si="116"/>
        <v>104743192.76999998</v>
      </c>
      <c r="F177" s="11">
        <f t="shared" ref="F177" ca="1" si="117">SUM(F164:F175)</f>
        <v>57369.14</v>
      </c>
      <c r="G177" s="11">
        <f t="shared" ca="1" si="116"/>
        <v>147800678.22</v>
      </c>
      <c r="H177" s="11">
        <f t="shared" ref="H177" ca="1" si="118">SUM(H164:H175)</f>
        <v>76681.37</v>
      </c>
      <c r="I177" s="11">
        <f t="shared" ca="1" si="116"/>
        <v>50605201.708999999</v>
      </c>
      <c r="J177" s="11">
        <f t="shared" ref="J177" ca="1" si="119">SUM(J164:J175)</f>
        <v>23022754.1184</v>
      </c>
      <c r="K177" s="11">
        <f t="shared" ca="1" si="116"/>
        <v>16794451.039999999</v>
      </c>
      <c r="L177" s="11">
        <f t="shared" si="116"/>
        <v>8815522.2023399994</v>
      </c>
    </row>
    <row r="178" spans="1:12">
      <c r="B178" s="84"/>
      <c r="C178" s="97">
        <f ca="1">SUM(D178:L178)</f>
        <v>0</v>
      </c>
      <c r="D178" s="97">
        <f ca="1">ROUND(D38*D84/100,2)</f>
        <v>0</v>
      </c>
      <c r="E178" s="97">
        <f ca="1">ROUND(E38*E84/100,2)</f>
        <v>0</v>
      </c>
      <c r="F178" s="97">
        <f>ROUND(F38*F84/100,2)</f>
        <v>0</v>
      </c>
      <c r="G178" s="97">
        <f ca="1">ROUND(G38*G84/100,2)</f>
        <v>0</v>
      </c>
      <c r="H178" s="97">
        <f>ROUND(H38*H84/100,2)</f>
        <v>0</v>
      </c>
      <c r="I178" s="97">
        <f ca="1">ROUND(I38*I80/100,2)</f>
        <v>0</v>
      </c>
      <c r="J178" s="97">
        <f ca="1">ROUND(J38*J80/100,2)</f>
        <v>0</v>
      </c>
      <c r="K178" s="97">
        <f ca="1">ROUND(K38*K84/100,2)</f>
        <v>0</v>
      </c>
      <c r="L178" s="97">
        <v>0</v>
      </c>
    </row>
    <row r="179" spans="1:12">
      <c r="C179" s="11"/>
      <c r="D179" s="11"/>
      <c r="E179" s="90"/>
      <c r="F179" s="90"/>
      <c r="G179" s="90"/>
      <c r="H179" s="90"/>
      <c r="I179" s="11"/>
      <c r="J179" s="11"/>
      <c r="K179" s="11"/>
      <c r="L179" s="11"/>
    </row>
    <row r="180" spans="1:12">
      <c r="B180" s="5" t="s">
        <v>23</v>
      </c>
      <c r="C180" s="11">
        <f ca="1">SUM(D180:L180)</f>
        <v>720735566.49973989</v>
      </c>
      <c r="D180" s="11">
        <f t="shared" ref="D180:L180" ca="1" si="120">D177+D178</f>
        <v>368819715.93000001</v>
      </c>
      <c r="E180" s="11">
        <f t="shared" ca="1" si="120"/>
        <v>104743192.76999998</v>
      </c>
      <c r="F180" s="11">
        <f t="shared" ref="F180" ca="1" si="121">F177+F178</f>
        <v>57369.14</v>
      </c>
      <c r="G180" s="11">
        <f t="shared" ca="1" si="120"/>
        <v>147800678.22</v>
      </c>
      <c r="H180" s="11">
        <f t="shared" ref="H180" ca="1" si="122">H177+H178</f>
        <v>76681.37</v>
      </c>
      <c r="I180" s="11">
        <f t="shared" ca="1" si="120"/>
        <v>50605201.708999999</v>
      </c>
      <c r="J180" s="11">
        <f t="shared" ref="J180" ca="1" si="123">J177+J178</f>
        <v>23022754.1184</v>
      </c>
      <c r="K180" s="11">
        <f t="shared" ca="1" si="120"/>
        <v>16794451.039999999</v>
      </c>
      <c r="L180" s="11">
        <f t="shared" si="120"/>
        <v>8815522.2023399994</v>
      </c>
    </row>
    <row r="181" spans="1:12">
      <c r="B181" s="5" t="s">
        <v>44</v>
      </c>
      <c r="C181" s="12">
        <f ca="1">SUM(D181:L181)</f>
        <v>0</v>
      </c>
      <c r="D181" s="12">
        <f t="shared" ref="D181:L181" ca="1" si="124">ROUND(D41*D84/100,2)</f>
        <v>0</v>
      </c>
      <c r="E181" s="12">
        <f t="shared" ca="1" si="124"/>
        <v>0</v>
      </c>
      <c r="F181" s="12">
        <f t="shared" ref="F181" si="125">ROUND(F41*F84/100,2)</f>
        <v>0</v>
      </c>
      <c r="G181" s="12">
        <f t="shared" ca="1" si="124"/>
        <v>0</v>
      </c>
      <c r="H181" s="12">
        <f t="shared" ref="H181" si="126">ROUND(H41*H84/100,2)</f>
        <v>0</v>
      </c>
      <c r="I181" s="12">
        <f t="shared" si="124"/>
        <v>0</v>
      </c>
      <c r="J181" s="12">
        <f t="shared" ref="J181" si="127">ROUND(J41*J84/100,2)</f>
        <v>0</v>
      </c>
      <c r="K181" s="12">
        <f t="shared" ca="1" si="124"/>
        <v>0</v>
      </c>
      <c r="L181" s="12">
        <f t="shared" si="124"/>
        <v>0</v>
      </c>
    </row>
    <row r="182" spans="1:12">
      <c r="C182" s="186"/>
      <c r="D182" s="186"/>
      <c r="E182" s="186"/>
      <c r="F182" s="186"/>
      <c r="G182" s="186"/>
      <c r="H182" s="186"/>
      <c r="I182" s="186"/>
      <c r="J182" s="186"/>
      <c r="K182" s="186"/>
      <c r="L182" s="186"/>
    </row>
    <row r="183" spans="1:12">
      <c r="B183" s="5" t="str">
        <f>"SUBTOTAL "&amp;UPPER(CHOOSE(Base1_Billing2,$Q$9,$Q$10))&amp;" REVENUE"</f>
        <v>SUBTOTAL BASE TARIFF REVENUE</v>
      </c>
      <c r="C183" s="11">
        <f ca="1">IF(ROUND(SUM(D183:L183),3)&lt;&gt;ROUND(SUM(C180:C181),3),#VALUE!,SUM(D183:L183))</f>
        <v>720735566.49973989</v>
      </c>
      <c r="D183" s="11">
        <f t="shared" ref="D183:L183" ca="1" si="128">D180+D181</f>
        <v>368819715.93000001</v>
      </c>
      <c r="E183" s="11">
        <f t="shared" ca="1" si="128"/>
        <v>104743192.76999998</v>
      </c>
      <c r="F183" s="11">
        <f t="shared" ref="F183" ca="1" si="129">F180+F181</f>
        <v>57369.14</v>
      </c>
      <c r="G183" s="11">
        <f t="shared" ca="1" si="128"/>
        <v>147800678.22</v>
      </c>
      <c r="H183" s="11">
        <f t="shared" ref="H183" ca="1" si="130">H180+H181</f>
        <v>76681.37</v>
      </c>
      <c r="I183" s="11">
        <f t="shared" ca="1" si="128"/>
        <v>50605201.708999999</v>
      </c>
      <c r="J183" s="11">
        <f t="shared" ref="J183" ca="1" si="131">J180+J181</f>
        <v>23022754.1184</v>
      </c>
      <c r="K183" s="11">
        <f t="shared" ca="1" si="128"/>
        <v>16794451.039999999</v>
      </c>
      <c r="L183" s="11">
        <f t="shared" si="128"/>
        <v>8815522.2023399994</v>
      </c>
    </row>
    <row r="184" spans="1:12">
      <c r="C184" s="11"/>
      <c r="D184" s="11"/>
      <c r="E184" s="11"/>
      <c r="F184" s="11"/>
      <c r="G184" s="11"/>
      <c r="H184" s="11"/>
      <c r="I184" s="11"/>
      <c r="J184" s="11"/>
      <c r="K184" s="11"/>
      <c r="L184" s="11"/>
    </row>
    <row r="185" spans="1:12">
      <c r="B185" s="5" t="s">
        <v>45</v>
      </c>
      <c r="C185" s="11"/>
      <c r="D185" s="11"/>
      <c r="E185" s="11"/>
      <c r="F185" s="11"/>
      <c r="G185" s="11"/>
      <c r="H185" s="11"/>
      <c r="I185" s="11"/>
      <c r="J185" s="11"/>
      <c r="K185" s="11"/>
      <c r="L185" s="11"/>
    </row>
    <row r="186" spans="1:12">
      <c r="B186" s="184" t="s">
        <v>46</v>
      </c>
      <c r="C186" s="11"/>
      <c r="D186" s="11"/>
      <c r="E186" s="11"/>
      <c r="F186" s="11"/>
      <c r="G186" s="11"/>
      <c r="H186" s="11"/>
      <c r="I186" s="11"/>
      <c r="J186" s="11"/>
      <c r="K186" s="11"/>
      <c r="L186" s="11"/>
    </row>
    <row r="187" spans="1:12" s="8" customFormat="1">
      <c r="A187" s="1"/>
      <c r="B187" s="87" t="s">
        <v>396</v>
      </c>
      <c r="C187" s="101">
        <f>SUM(D187:L187)</f>
        <v>-42385064</v>
      </c>
      <c r="D187" s="12">
        <f>D134</f>
        <v>-20347259</v>
      </c>
      <c r="E187" s="12">
        <f>E134</f>
        <v>-6705916</v>
      </c>
      <c r="F187" s="12">
        <f>F134</f>
        <v>0</v>
      </c>
      <c r="G187" s="12">
        <f>G134</f>
        <v>-15474501</v>
      </c>
      <c r="H187" s="12">
        <f>H134</f>
        <v>0</v>
      </c>
      <c r="I187" s="12"/>
      <c r="J187" s="12"/>
      <c r="K187" s="12">
        <f>K134</f>
        <v>142612</v>
      </c>
      <c r="L187" s="101"/>
    </row>
    <row r="188" spans="1:12" s="10" customFormat="1">
      <c r="A188" s="1"/>
      <c r="B188" s="87" t="s">
        <v>397</v>
      </c>
      <c r="D188" s="10">
        <f ca="1">D84</f>
        <v>12.786097467413429</v>
      </c>
      <c r="E188" s="10">
        <f ca="1">E84</f>
        <v>12.354132112121681</v>
      </c>
      <c r="F188" s="10">
        <f>F84</f>
        <v>0</v>
      </c>
      <c r="G188" s="10">
        <f ca="1">G84</f>
        <v>7.796593464475599</v>
      </c>
      <c r="H188" s="10">
        <f>H84</f>
        <v>0</v>
      </c>
      <c r="K188" s="185">
        <f ca="1">K84</f>
        <v>10.764499112044488</v>
      </c>
    </row>
    <row r="189" spans="1:12" s="11" customFormat="1">
      <c r="A189" s="1"/>
      <c r="B189" s="87" t="s">
        <v>398</v>
      </c>
      <c r="C189" s="11">
        <f ca="1">SUM(D189:L189)</f>
        <v>-4621210.55</v>
      </c>
      <c r="D189" s="186">
        <f ca="1">ROUND(D187*D188/100,2)</f>
        <v>-2601620.37</v>
      </c>
      <c r="E189" s="186">
        <f ca="1">ROUND(E187*E188/100,2)</f>
        <v>-828457.72</v>
      </c>
      <c r="F189" s="186">
        <f>ROUND(F187*F188/100,2)</f>
        <v>0</v>
      </c>
      <c r="G189" s="186">
        <f ca="1">ROUND(G187*G188/100,2)</f>
        <v>-1206483.93</v>
      </c>
      <c r="H189" s="186">
        <f>ROUND(H187*H188/100,2)</f>
        <v>0</v>
      </c>
      <c r="I189" s="186"/>
      <c r="J189" s="186"/>
      <c r="K189" s="186">
        <f ca="1">ROUND(K187*K188/100,2)</f>
        <v>15351.47</v>
      </c>
      <c r="L189" s="186"/>
    </row>
    <row r="190" spans="1:12" s="11" customFormat="1">
      <c r="A190" s="1"/>
      <c r="B190" s="87"/>
    </row>
    <row r="191" spans="1:12" s="8" customFormat="1">
      <c r="A191" s="1"/>
      <c r="B191" s="87" t="s">
        <v>186</v>
      </c>
      <c r="C191" s="101">
        <f>SUM(D191:L191)</f>
        <v>0</v>
      </c>
      <c r="D191" s="101">
        <f>D138</f>
        <v>0</v>
      </c>
      <c r="E191" s="101">
        <f>E138</f>
        <v>0</v>
      </c>
      <c r="F191" s="101">
        <f>F138</f>
        <v>0</v>
      </c>
      <c r="G191" s="101">
        <f>G138</f>
        <v>0</v>
      </c>
      <c r="H191" s="101">
        <f>H138</f>
        <v>0</v>
      </c>
      <c r="I191" s="101"/>
      <c r="J191" s="101"/>
      <c r="K191" s="101"/>
      <c r="L191" s="101"/>
    </row>
    <row r="192" spans="1:12" s="10" customFormat="1">
      <c r="A192" s="1"/>
      <c r="B192" s="87" t="s">
        <v>187</v>
      </c>
      <c r="C192" s="857"/>
      <c r="D192" s="10">
        <f ca="1">I235</f>
        <v>14.741900383148804</v>
      </c>
      <c r="E192" s="10">
        <f ca="1">I253</f>
        <v>9.8936920300879336</v>
      </c>
      <c r="F192" s="10">
        <f>J253</f>
        <v>0</v>
      </c>
      <c r="G192" s="10">
        <f ca="1">G286</f>
        <v>7.8899999998708088</v>
      </c>
      <c r="H192" s="10">
        <f>H286</f>
        <v>0</v>
      </c>
    </row>
    <row r="193" spans="1:18" s="11" customFormat="1">
      <c r="A193" s="1"/>
      <c r="B193" s="87" t="s">
        <v>188</v>
      </c>
      <c r="C193" s="11">
        <f ca="1">SUM(D193:L193)</f>
        <v>0</v>
      </c>
      <c r="D193" s="186">
        <f ca="1">ROUND(D191*D192/100,2)</f>
        <v>0</v>
      </c>
      <c r="E193" s="186">
        <f ca="1">ROUND(E191*E192/100,2)</f>
        <v>0</v>
      </c>
      <c r="F193" s="186">
        <f>ROUND(F191*F192/100,2)</f>
        <v>0</v>
      </c>
      <c r="G193" s="186">
        <f ca="1">ROUND(G191*G192/100,2)</f>
        <v>0</v>
      </c>
      <c r="H193" s="186">
        <f>ROUND(H191*H192/100,2)</f>
        <v>0</v>
      </c>
      <c r="I193" s="186"/>
      <c r="J193" s="186"/>
      <c r="K193" s="186"/>
      <c r="L193" s="186"/>
    </row>
    <row r="194" spans="1:18" s="11" customFormat="1">
      <c r="A194" s="1"/>
      <c r="B194" s="87"/>
    </row>
    <row r="195" spans="1:18" s="7" customFormat="1">
      <c r="A195" s="1"/>
      <c r="B195" s="87" t="s">
        <v>189</v>
      </c>
      <c r="C195" s="12">
        <f>IF(ROUND(C187+C191,3)&lt;&gt;ROUND(SUM(D195:L195),3),#VALUE!,SUM(D195:L195))</f>
        <v>-42385064</v>
      </c>
      <c r="D195" s="12">
        <f>D187+D191</f>
        <v>-20347259</v>
      </c>
      <c r="E195" s="12">
        <f>E187+E191</f>
        <v>-6705916</v>
      </c>
      <c r="F195" s="12">
        <f>F187+F191</f>
        <v>0</v>
      </c>
      <c r="G195" s="12">
        <f>G187+G191</f>
        <v>-15474501</v>
      </c>
      <c r="H195" s="12">
        <f>H187+H191</f>
        <v>0</v>
      </c>
      <c r="I195" s="12"/>
      <c r="J195" s="12"/>
      <c r="K195" s="12">
        <f>K187+K191</f>
        <v>142612</v>
      </c>
      <c r="L195" s="12"/>
    </row>
    <row r="196" spans="1:18" s="11" customFormat="1">
      <c r="A196" s="1"/>
      <c r="B196" s="87" t="s">
        <v>190</v>
      </c>
      <c r="C196" s="11">
        <f ca="1">IF(ROUND(C189+C193,3)&lt;&gt;ROUND(SUM(D196:L196),3),#VALUE!,SUM(D196:L196))</f>
        <v>-4621210.55</v>
      </c>
      <c r="D196" s="11">
        <f ca="1">D189+D193</f>
        <v>-2601620.37</v>
      </c>
      <c r="E196" s="11">
        <f ca="1">E189+E193</f>
        <v>-828457.72</v>
      </c>
      <c r="F196" s="11">
        <f>F189+F193</f>
        <v>0</v>
      </c>
      <c r="G196" s="11">
        <f ca="1">G189+G193</f>
        <v>-1206483.93</v>
      </c>
      <c r="H196" s="11">
        <f>H189+H193</f>
        <v>0</v>
      </c>
      <c r="K196" s="11">
        <f ca="1">K189+K193</f>
        <v>15351.47</v>
      </c>
    </row>
    <row r="197" spans="1:18">
      <c r="B197" s="184" t="s">
        <v>47</v>
      </c>
      <c r="C197" s="11"/>
      <c r="D197" s="11"/>
      <c r="E197" s="11"/>
      <c r="F197" s="11"/>
      <c r="G197" s="11"/>
      <c r="H197" s="11"/>
      <c r="I197" s="11"/>
      <c r="J197" s="11"/>
      <c r="K197" s="11"/>
      <c r="L197" s="11"/>
    </row>
    <row r="198" spans="1:18" s="8" customFormat="1">
      <c r="A198" s="1"/>
      <c r="B198" s="87" t="s">
        <v>186</v>
      </c>
      <c r="C198" s="101">
        <f>SUM(D198:L198)</f>
        <v>-112314908</v>
      </c>
      <c r="D198" s="101">
        <f>D145</f>
        <v>-63078988</v>
      </c>
      <c r="E198" s="101">
        <f>E145</f>
        <v>-16347549</v>
      </c>
      <c r="F198" s="101">
        <f>F145</f>
        <v>0</v>
      </c>
      <c r="G198" s="101">
        <f>G145</f>
        <v>-25995650</v>
      </c>
      <c r="H198" s="101">
        <f>H145</f>
        <v>0</v>
      </c>
      <c r="I198" s="101"/>
      <c r="J198" s="101"/>
      <c r="K198" s="101">
        <f t="shared" ref="K198" si="132">K145</f>
        <v>-6892721</v>
      </c>
      <c r="L198" s="101"/>
    </row>
    <row r="199" spans="1:18" s="10" customFormat="1">
      <c r="A199" s="1"/>
      <c r="B199" s="87" t="s">
        <v>187</v>
      </c>
      <c r="C199" s="856" t="s">
        <v>1</v>
      </c>
      <c r="D199" s="10">
        <f ca="1">I235</f>
        <v>14.741900383148804</v>
      </c>
      <c r="E199" s="10">
        <f ca="1">E80</f>
        <v>9.8930000000000007</v>
      </c>
      <c r="F199" s="10">
        <f>J253</f>
        <v>0</v>
      </c>
      <c r="G199" s="10">
        <f ca="1">G80</f>
        <v>7.0309999999999997</v>
      </c>
      <c r="H199" s="10">
        <f>H286</f>
        <v>0</v>
      </c>
      <c r="K199" s="10">
        <f ca="1">K80</f>
        <v>9.452</v>
      </c>
    </row>
    <row r="200" spans="1:18" s="11" customFormat="1">
      <c r="A200" s="1"/>
      <c r="B200" s="88" t="s">
        <v>188</v>
      </c>
      <c r="C200" s="11">
        <f ca="1">SUM(D200:L200)</f>
        <v>-13395558.73</v>
      </c>
      <c r="D200" s="186">
        <f ca="1">ROUND(D198*D199/100,2)</f>
        <v>-9299041.5700000003</v>
      </c>
      <c r="E200" s="186">
        <f ca="1">ROUND(E198*E199/100,2)</f>
        <v>-1617263.02</v>
      </c>
      <c r="F200" s="186">
        <f>ROUND(F198*F199/100,2)</f>
        <v>0</v>
      </c>
      <c r="G200" s="186">
        <f ca="1">ROUND(G198*G199/100,2)</f>
        <v>-1827754.15</v>
      </c>
      <c r="H200" s="186">
        <f>ROUND(H198*H199/100,2)</f>
        <v>0</v>
      </c>
      <c r="I200" s="186">
        <f t="shared" ref="I200:K200" si="133">ROUND(I198*I199/100,2)</f>
        <v>0</v>
      </c>
      <c r="J200" s="186">
        <f t="shared" si="133"/>
        <v>0</v>
      </c>
      <c r="K200" s="186">
        <f t="shared" ca="1" si="133"/>
        <v>-651499.99</v>
      </c>
      <c r="L200" s="186"/>
    </row>
    <row r="201" spans="1:18" s="11" customFormat="1">
      <c r="A201" s="1"/>
      <c r="C201" s="90"/>
      <c r="D201" s="90"/>
      <c r="E201" s="90"/>
      <c r="F201" s="90"/>
      <c r="G201" s="90"/>
      <c r="H201" s="90"/>
      <c r="I201" s="90"/>
      <c r="J201" s="90"/>
      <c r="K201" s="90"/>
      <c r="L201" s="90"/>
    </row>
    <row r="202" spans="1:18">
      <c r="B202" s="5" t="s">
        <v>48</v>
      </c>
      <c r="C202" s="186">
        <f ca="1">IF(ROUND(SUM(D202:L202),3)&lt;&gt;ROUND(C196+C200,3),#VALUE!,SUM(D202:L202))</f>
        <v>-18016769.280000001</v>
      </c>
      <c r="D202" s="186">
        <f ca="1">D200+D196</f>
        <v>-11900661.940000001</v>
      </c>
      <c r="E202" s="186">
        <f ca="1">E200+E196</f>
        <v>-2445720.7400000002</v>
      </c>
      <c r="F202" s="186">
        <f>F200+F196</f>
        <v>0</v>
      </c>
      <c r="G202" s="186">
        <f ca="1">G200+G196</f>
        <v>-3034238.08</v>
      </c>
      <c r="H202" s="186">
        <f>H200+H196</f>
        <v>0</v>
      </c>
      <c r="I202" s="186"/>
      <c r="J202" s="186"/>
      <c r="K202" s="186">
        <f ca="1">K200+K196</f>
        <v>-636148.52</v>
      </c>
      <c r="L202" s="186"/>
    </row>
    <row r="203" spans="1:18">
      <c r="B203" s="5" t="str">
        <f>"TOTAL "&amp;UPPER(CHOOSE(Base1_Billing2,$Q$9,$Q$10))&amp;" REVENUE"</f>
        <v>TOTAL BASE TARIFF REVENUE</v>
      </c>
      <c r="C203" s="12">
        <f ca="1">SUM(D203:L203)</f>
        <v>720735566.49973989</v>
      </c>
      <c r="D203" s="12">
        <f t="shared" ref="D203:L203" ca="1" si="134">D183</f>
        <v>368819715.93000001</v>
      </c>
      <c r="E203" s="12">
        <f t="shared" ca="1" si="134"/>
        <v>104743192.76999998</v>
      </c>
      <c r="F203" s="12">
        <f t="shared" ref="F203" ca="1" si="135">F183</f>
        <v>57369.14</v>
      </c>
      <c r="G203" s="12">
        <f t="shared" ca="1" si="134"/>
        <v>147800678.22</v>
      </c>
      <c r="H203" s="12">
        <f t="shared" ref="H203" ca="1" si="136">H183</f>
        <v>76681.37</v>
      </c>
      <c r="I203" s="12">
        <f t="shared" ca="1" si="134"/>
        <v>50605201.708999999</v>
      </c>
      <c r="J203" s="12">
        <f t="shared" ref="J203" ca="1" si="137">J183</f>
        <v>23022754.1184</v>
      </c>
      <c r="K203" s="12">
        <f t="shared" ca="1" si="134"/>
        <v>16794451.039999999</v>
      </c>
      <c r="L203" s="12">
        <f t="shared" si="134"/>
        <v>8815522.2023399994</v>
      </c>
    </row>
    <row r="204" spans="1:18">
      <c r="B204" s="5" t="s">
        <v>51</v>
      </c>
      <c r="C204" s="186">
        <f ca="1">IF(ROUND(SUM(D204:L204),3)&lt;&gt;ROUND(SUM(C202:C203),3),#VALUE!,SUM(D204:L204))</f>
        <v>702718797.21973991</v>
      </c>
      <c r="D204" s="186">
        <f ca="1">D202+D203</f>
        <v>356919053.99000001</v>
      </c>
      <c r="E204" s="186">
        <f t="shared" ref="E204:L204" ca="1" si="138">E202+E203</f>
        <v>102297472.02999999</v>
      </c>
      <c r="F204" s="186">
        <f t="shared" ref="F204" ca="1" si="139">F202+F203</f>
        <v>57369.14</v>
      </c>
      <c r="G204" s="186">
        <f t="shared" ca="1" si="138"/>
        <v>144766440.13999999</v>
      </c>
      <c r="H204" s="186">
        <f t="shared" ref="H204" ca="1" si="140">H202+H203</f>
        <v>76681.37</v>
      </c>
      <c r="I204" s="186">
        <f ca="1">I202+I203</f>
        <v>50605201.708999999</v>
      </c>
      <c r="J204" s="186">
        <f ca="1">J202+J203</f>
        <v>23022754.1184</v>
      </c>
      <c r="K204" s="186">
        <f t="shared" ca="1" si="138"/>
        <v>16158302.52</v>
      </c>
      <c r="L204" s="186">
        <f t="shared" si="138"/>
        <v>8815522.2023399994</v>
      </c>
      <c r="O204" s="11"/>
      <c r="R204" s="11"/>
    </row>
    <row r="205" spans="1:18">
      <c r="B205" s="5" t="s">
        <v>49</v>
      </c>
      <c r="C205" s="11">
        <f ca="1">SUM(D205:L205)</f>
        <v>633455236.7006042</v>
      </c>
      <c r="D205" s="11">
        <f t="shared" ref="D205:L205" ca="1" si="141">D152</f>
        <v>309184269.30000001</v>
      </c>
      <c r="E205" s="11">
        <f t="shared" ca="1" si="141"/>
        <v>94545999.391428575</v>
      </c>
      <c r="F205" s="11">
        <f t="shared" ref="F205" ca="1" si="142">F152</f>
        <v>51714.34</v>
      </c>
      <c r="G205" s="11">
        <f t="shared" ca="1" si="141"/>
        <v>137261879.18028572</v>
      </c>
      <c r="H205" s="11">
        <f t="shared" ref="H205" ca="1" si="143">H152</f>
        <v>69124.14</v>
      </c>
      <c r="I205" s="11">
        <f ca="1">I152</f>
        <v>47978433.408150002</v>
      </c>
      <c r="J205" s="11">
        <f ca="1">J152</f>
        <v>21853046.518399999</v>
      </c>
      <c r="K205" s="11">
        <f t="shared" ca="1" si="141"/>
        <v>14564411.460000001</v>
      </c>
      <c r="L205" s="11">
        <f t="shared" si="141"/>
        <v>7946358.962340001</v>
      </c>
      <c r="O205" s="11"/>
      <c r="R205" s="11"/>
    </row>
    <row r="206" spans="1:18">
      <c r="C206" s="187"/>
      <c r="D206" s="187"/>
      <c r="E206" s="187"/>
      <c r="F206" s="187"/>
      <c r="G206" s="187"/>
      <c r="H206" s="187"/>
      <c r="I206" s="187"/>
      <c r="J206" s="187"/>
      <c r="K206" s="187"/>
      <c r="L206" s="187"/>
    </row>
    <row r="207" spans="1:18" s="14" customFormat="1">
      <c r="A207" s="13"/>
      <c r="B207" s="14" t="s">
        <v>52</v>
      </c>
      <c r="C207" s="15">
        <f ca="1">SUM(D207:L207)</f>
        <v>69263560.519135654</v>
      </c>
      <c r="D207" s="15">
        <f t="shared" ref="D207:L207" ca="1" si="144">D204-D205</f>
        <v>47734784.689999998</v>
      </c>
      <c r="E207" s="15">
        <f t="shared" ca="1" si="144"/>
        <v>7751472.6385714114</v>
      </c>
      <c r="F207" s="15">
        <f t="shared" ref="F207" ca="1" si="145">F204-F205</f>
        <v>5654.8000000000029</v>
      </c>
      <c r="G207" s="15">
        <f t="shared" ca="1" si="144"/>
        <v>7504560.9597142637</v>
      </c>
      <c r="H207" s="15">
        <f t="shared" ref="H207" ca="1" si="146">H204-H205</f>
        <v>7557.2299999999959</v>
      </c>
      <c r="I207" s="15">
        <f t="shared" ca="1" si="144"/>
        <v>2626768.3008499965</v>
      </c>
      <c r="J207" s="15">
        <f t="shared" ref="J207" ca="1" si="147">J204-J205</f>
        <v>1169707.6000000015</v>
      </c>
      <c r="K207" s="15">
        <f t="shared" ca="1" si="144"/>
        <v>1593891.0599999987</v>
      </c>
      <c r="L207" s="15">
        <f t="shared" si="144"/>
        <v>869163.23999999836</v>
      </c>
      <c r="O207" s="15"/>
      <c r="R207" s="15"/>
    </row>
    <row r="208" spans="1:18" s="14" customFormat="1">
      <c r="A208" s="13"/>
      <c r="B208" s="14" t="s">
        <v>53</v>
      </c>
      <c r="C208" s="16">
        <f t="shared" ref="C208:K208" ca="1" si="148">C207/C205</f>
        <v>0.10934247047968179</v>
      </c>
      <c r="D208" s="16">
        <f ca="1">D207/D205</f>
        <v>0.15438943513546985</v>
      </c>
      <c r="E208" s="16">
        <f t="shared" ca="1" si="148"/>
        <v>8.1986257361135378E-2</v>
      </c>
      <c r="F208" s="16">
        <f t="shared" ref="F208" ca="1" si="149">F207/F205</f>
        <v>0.10934684654198436</v>
      </c>
      <c r="G208" s="16">
        <f t="shared" ca="1" si="148"/>
        <v>5.4673307727759191E-2</v>
      </c>
      <c r="H208" s="16">
        <f t="shared" ref="H208" ca="1" si="150">H207/H205</f>
        <v>0.10932837645430375</v>
      </c>
      <c r="I208" s="16">
        <f t="shared" ca="1" si="148"/>
        <v>5.4748938517942367E-2</v>
      </c>
      <c r="J208" s="16">
        <f t="shared" ref="J208" ca="1" si="151">J207/J205</f>
        <v>5.352606553118907E-2</v>
      </c>
      <c r="K208" s="16">
        <f t="shared" ca="1" si="148"/>
        <v>0.10943738196201706</v>
      </c>
      <c r="L208" s="16">
        <f>L207/L205</f>
        <v>0.10937880406853051</v>
      </c>
      <c r="M208" s="16"/>
      <c r="O208" s="16"/>
      <c r="R208" s="15"/>
    </row>
    <row r="209" spans="1:15" s="2" customFormat="1" ht="12.75">
      <c r="A209" s="1"/>
      <c r="B209" s="258" t="str">
        <f>IF(Base1_Billing2=2,"Pres and Prop Revenues may be incorrect due to Sch 59--for example all of Sch 11 gets benefit of Sch 59 but it s/only be Sch 12; see Billing Rev on Exhibit page for fix","")</f>
        <v/>
      </c>
      <c r="C209" s="17"/>
      <c r="D209" s="283"/>
      <c r="E209" s="283"/>
      <c r="F209" s="283"/>
      <c r="G209" s="283"/>
      <c r="H209" s="283"/>
      <c r="I209" s="283"/>
      <c r="J209" s="283"/>
      <c r="K209" s="283"/>
      <c r="L209" s="283"/>
    </row>
    <row r="210" spans="1:15" s="2" customFormat="1" ht="12.75">
      <c r="A210" s="1"/>
      <c r="C210" s="220"/>
      <c r="D210"/>
      <c r="E210" s="210"/>
      <c r="F210" s="210"/>
      <c r="G210" s="17"/>
      <c r="H210" s="17"/>
      <c r="I210" s="17"/>
      <c r="J210" s="17"/>
      <c r="K210" s="17"/>
      <c r="L210" s="17"/>
    </row>
    <row r="211" spans="1:15" s="2" customFormat="1" ht="12.75">
      <c r="A211" s="1" t="s">
        <v>927</v>
      </c>
      <c r="C211" s="296"/>
      <c r="D211" s="283"/>
      <c r="E211" s="283">
        <f t="shared" ref="E211:K211" ca="1" si="152">E205/E25</f>
        <v>226.87210252852176</v>
      </c>
      <c r="F211" s="283">
        <f t="shared" ca="1" si="152"/>
        <v>340.22592105263158</v>
      </c>
      <c r="G211" s="283">
        <f t="shared" ca="1" si="152"/>
        <v>6725.2268094211522</v>
      </c>
      <c r="H211" s="283">
        <f t="shared" ca="1" si="152"/>
        <v>1868.22</v>
      </c>
      <c r="I211" s="283">
        <f t="shared" ca="1" si="152"/>
        <v>190390.60876250002</v>
      </c>
      <c r="J211" s="283">
        <f t="shared" ca="1" si="152"/>
        <v>1821087.2098666665</v>
      </c>
      <c r="K211" s="283">
        <f t="shared" ca="1" si="152"/>
        <v>475.54156332647665</v>
      </c>
      <c r="L211" s="17"/>
      <c r="M211" s="1" t="s">
        <v>929</v>
      </c>
    </row>
    <row r="212" spans="1:15" s="2" customFormat="1" ht="12.75">
      <c r="A212" s="1" t="s">
        <v>928</v>
      </c>
      <c r="C212" s="296"/>
      <c r="D212" s="283"/>
      <c r="E212" s="283">
        <f t="shared" ref="E212:K212" ca="1" si="153">E204/E48</f>
        <v>245.47249711448706</v>
      </c>
      <c r="F212" s="283">
        <f t="shared" ca="1" si="153"/>
        <v>377.42855263157895</v>
      </c>
      <c r="G212" s="283">
        <f t="shared" ca="1" si="153"/>
        <v>7092.9172043116114</v>
      </c>
      <c r="H212" s="283">
        <f t="shared" ca="1" si="153"/>
        <v>2072.4694594594594</v>
      </c>
      <c r="I212" s="283">
        <f t="shared" ca="1" si="153"/>
        <v>200814.29249603173</v>
      </c>
      <c r="J212" s="283">
        <f t="shared" ca="1" si="153"/>
        <v>1918562.8432</v>
      </c>
      <c r="K212" s="283">
        <f t="shared" ca="1" si="153"/>
        <v>527.58358703105102</v>
      </c>
      <c r="L212" s="17"/>
    </row>
    <row r="213" spans="1:15" s="2" customFormat="1" ht="12.75">
      <c r="A213" s="1"/>
      <c r="C213" s="296"/>
      <c r="D213" s="283"/>
      <c r="E213" s="283">
        <f t="shared" ref="E213:K213" ca="1" si="154">E212-E211</f>
        <v>18.60039458596529</v>
      </c>
      <c r="F213" s="283">
        <f t="shared" ca="1" si="154"/>
        <v>37.202631578947376</v>
      </c>
      <c r="G213" s="283">
        <f t="shared" ca="1" si="154"/>
        <v>367.69039489045917</v>
      </c>
      <c r="H213" s="283">
        <f t="shared" ca="1" si="154"/>
        <v>204.24945945945933</v>
      </c>
      <c r="I213" s="283">
        <f t="shared" ca="1" si="154"/>
        <v>10423.68373353171</v>
      </c>
      <c r="J213" s="283">
        <f t="shared" ca="1" si="154"/>
        <v>97475.633333333535</v>
      </c>
      <c r="K213" s="283">
        <f t="shared" ca="1" si="154"/>
        <v>52.042023704574376</v>
      </c>
      <c r="L213" s="17"/>
    </row>
    <row r="214" spans="1:15" s="2" customFormat="1" ht="12.75">
      <c r="A214" s="1"/>
      <c r="C214" s="296"/>
      <c r="D214" s="296"/>
      <c r="E214" s="210"/>
      <c r="F214" s="210"/>
      <c r="G214" s="17"/>
      <c r="H214" s="17"/>
      <c r="I214" s="17"/>
      <c r="J214" s="17"/>
      <c r="K214" s="17"/>
      <c r="L214" s="17"/>
    </row>
    <row r="215" spans="1:15" s="2" customFormat="1">
      <c r="A215" s="1"/>
      <c r="C215" s="17"/>
      <c r="D215" s="17"/>
      <c r="E215" s="17"/>
      <c r="F215" s="17"/>
      <c r="G215" s="17"/>
      <c r="H215" s="17"/>
      <c r="I215" s="17"/>
      <c r="J215" s="17"/>
      <c r="K215" s="17"/>
      <c r="L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104" t="s">
        <v>59</v>
      </c>
    </row>
    <row r="220" spans="1:15">
      <c r="B220" s="14" t="s">
        <v>10</v>
      </c>
    </row>
    <row r="221" spans="1:15">
      <c r="B221" s="85" t="s">
        <v>614</v>
      </c>
      <c r="C221" s="10">
        <f ca="1">D62</f>
        <v>10.007999999999999</v>
      </c>
      <c r="D221" s="12">
        <f>D8</f>
        <v>1718630296.2747939</v>
      </c>
      <c r="E221" s="11">
        <f ca="1">C221*D221/100</f>
        <v>172000520.05118138</v>
      </c>
      <c r="F221" s="12">
        <f>MIN(D221,F225)</f>
        <v>1718630296</v>
      </c>
      <c r="G221" s="11">
        <f ca="1">F221*C221/100</f>
        <v>172000520.02368</v>
      </c>
      <c r="H221" s="12">
        <f>D221-F221</f>
        <v>0.27479386329650879</v>
      </c>
      <c r="I221" s="11">
        <f ca="1">H221*C221/100</f>
        <v>2.7501369838714599E-2</v>
      </c>
      <c r="L221" s="393">
        <f>H221/$H$225</f>
        <v>2.8872348777488767E-10</v>
      </c>
      <c r="N221" s="395">
        <f>L221*$D$145</f>
        <v>-1.8212385420670284E-2</v>
      </c>
      <c r="O221" s="394">
        <f ca="1">N221*(C221/100)</f>
        <v>-1.822695532900682E-3</v>
      </c>
    </row>
    <row r="222" spans="1:15">
      <c r="B222" s="85" t="s">
        <v>615</v>
      </c>
      <c r="C222" s="10">
        <f ca="1">D63</f>
        <v>11.759</v>
      </c>
      <c r="D222" s="12">
        <f>D9</f>
        <v>577659306.88565063</v>
      </c>
      <c r="E222" s="11">
        <f ca="1">C222*D222/100</f>
        <v>67926957.896683663</v>
      </c>
      <c r="F222" s="12">
        <f>MIN(F225-F221,D222)</f>
        <v>0</v>
      </c>
      <c r="G222" s="11">
        <f ca="1">F222*C222/100</f>
        <v>0</v>
      </c>
      <c r="H222" s="12">
        <f>D222-F222</f>
        <v>577659306.88565063</v>
      </c>
      <c r="I222" s="11">
        <f ca="1">H222*C222/100</f>
        <v>67926957.896683663</v>
      </c>
      <c r="L222" s="393">
        <f>H222/$H$225</f>
        <v>0.60694153729949107</v>
      </c>
      <c r="N222" s="395">
        <f>L222*$D$145</f>
        <v>-38285257.948016152</v>
      </c>
      <c r="O222" s="394">
        <f ca="1">N222*(C222/100)</f>
        <v>-4501963.4821072193</v>
      </c>
    </row>
    <row r="223" spans="1:15">
      <c r="B223" s="85" t="s">
        <v>616</v>
      </c>
      <c r="C223" s="10">
        <f ca="1">D64</f>
        <v>13.914</v>
      </c>
      <c r="D223" s="12">
        <f>D10</f>
        <v>374095139.33183551</v>
      </c>
      <c r="E223" s="11">
        <f ca="1">C223*D223/100</f>
        <v>52051597.68663159</v>
      </c>
      <c r="F223" s="12">
        <f>MIN(F225-F221-F222,D223)</f>
        <v>0</v>
      </c>
      <c r="G223" s="11">
        <f ca="1">F223*C223/100</f>
        <v>0</v>
      </c>
      <c r="H223" s="12">
        <f>D223-F223</f>
        <v>374095139.33183551</v>
      </c>
      <c r="I223" s="11">
        <f ca="1">H223*C223/100</f>
        <v>52051597.68663159</v>
      </c>
      <c r="L223" s="393">
        <f>H223/$H$225</f>
        <v>0.39305846241178544</v>
      </c>
      <c r="N223" s="395">
        <f>L223*$D$145</f>
        <v>-24793730.033771466</v>
      </c>
      <c r="O223" s="394">
        <f ca="1">N223*(C223/100)</f>
        <v>-3449799.5968989613</v>
      </c>
    </row>
    <row r="224" spans="1:15">
      <c r="D224" s="100"/>
      <c r="E224" s="190"/>
      <c r="F224" s="100"/>
      <c r="G224" s="190"/>
      <c r="H224" s="100"/>
      <c r="I224" s="190"/>
      <c r="N224" s="395">
        <f>SUM(N221:N223)</f>
        <v>-63078988</v>
      </c>
      <c r="O224" s="394">
        <f ca="1">SUM(O221:O223)</f>
        <v>-7951763.0808288753</v>
      </c>
    </row>
    <row r="225" spans="2:9">
      <c r="B225" s="5" t="s">
        <v>9</v>
      </c>
      <c r="D225" s="12">
        <f t="shared" ref="D225:I225" si="155">D221+D222+D223</f>
        <v>2670384742.49228</v>
      </c>
      <c r="E225" s="11">
        <f t="shared" ca="1" si="155"/>
        <v>291979075.63449663</v>
      </c>
      <c r="F225" s="729">
        <v>1718630296</v>
      </c>
      <c r="G225" s="11">
        <f t="shared" ca="1" si="155"/>
        <v>172000520.02368</v>
      </c>
      <c r="H225" s="12">
        <f t="shared" si="155"/>
        <v>951754446.49228001</v>
      </c>
      <c r="I225" s="11">
        <f t="shared" ca="1" si="155"/>
        <v>119978555.61081663</v>
      </c>
    </row>
    <row r="226" spans="2:9">
      <c r="B226" s="5" t="s">
        <v>60</v>
      </c>
      <c r="D226" s="12"/>
      <c r="E226" s="10">
        <f ca="1">E225/D225*100</f>
        <v>10.933970337247787</v>
      </c>
      <c r="F226" s="10"/>
      <c r="G226" s="10">
        <f ca="1">G225/F225*100</f>
        <v>10.008000000000001</v>
      </c>
      <c r="H226" s="12"/>
      <c r="I226" s="10">
        <f ca="1">I225/H225*100</f>
        <v>12.606040985991843</v>
      </c>
    </row>
    <row r="227" spans="2:9">
      <c r="D227" s="12"/>
      <c r="F227" s="12"/>
      <c r="H227" s="12"/>
    </row>
    <row r="228" spans="2:9">
      <c r="B228" s="104" t="s">
        <v>61</v>
      </c>
      <c r="D228" s="12"/>
      <c r="F228" s="12"/>
      <c r="H228" s="12"/>
    </row>
    <row r="229" spans="2:9">
      <c r="B229" s="14" t="s">
        <v>10</v>
      </c>
      <c r="D229" s="12"/>
      <c r="F229" s="12"/>
      <c r="H229" s="12"/>
    </row>
    <row r="230" spans="2:9">
      <c r="B230" s="85" t="s">
        <v>614</v>
      </c>
      <c r="C230" s="10">
        <f ca="1">D79</f>
        <v>11.702999999999999</v>
      </c>
      <c r="D230" s="12">
        <f>D221</f>
        <v>1718630296.2747939</v>
      </c>
      <c r="E230" s="11">
        <f ca="1">C230*D230/100</f>
        <v>201131303.57303914</v>
      </c>
      <c r="F230" s="12">
        <f>MIN(D230,F234)</f>
        <v>1718630296</v>
      </c>
      <c r="G230" s="11">
        <f ca="1">F230*C230/100</f>
        <v>201131303.54087996</v>
      </c>
      <c r="H230" s="12">
        <f>H221</f>
        <v>0.27479386329650879</v>
      </c>
      <c r="I230" s="11">
        <f ca="1">H230*C230/100</f>
        <v>3.2159125821590424E-2</v>
      </c>
    </row>
    <row r="231" spans="2:9">
      <c r="B231" s="85" t="s">
        <v>615</v>
      </c>
      <c r="C231" s="10">
        <f ca="1">D80</f>
        <v>13.750999999999999</v>
      </c>
      <c r="D231" s="12">
        <f>D222</f>
        <v>577659306.88565063</v>
      </c>
      <c r="E231" s="11">
        <f ca="1">C231*D231/100</f>
        <v>79433931.289845824</v>
      </c>
      <c r="F231" s="12">
        <f>MIN(F234-F230,D231)</f>
        <v>0</v>
      </c>
      <c r="G231" s="11">
        <f ca="1">F231*C231/100</f>
        <v>0</v>
      </c>
      <c r="H231" s="12">
        <f>H222</f>
        <v>577659306.88565063</v>
      </c>
      <c r="I231" s="11">
        <f ca="1">H231*C231/100</f>
        <v>79433931.289845824</v>
      </c>
    </row>
    <row r="232" spans="2:9">
      <c r="B232" s="85" t="s">
        <v>617</v>
      </c>
      <c r="C232" s="10">
        <f ca="1">D81</f>
        <v>16.271999999999998</v>
      </c>
      <c r="D232" s="12">
        <f>D223</f>
        <v>374095139.33183551</v>
      </c>
      <c r="E232" s="11">
        <f ca="1">C232*D232/100</f>
        <v>60872761.072076261</v>
      </c>
      <c r="F232" s="12">
        <f>MIN(F234-F230-F231,D232)</f>
        <v>0</v>
      </c>
      <c r="G232" s="11">
        <f ca="1">F232*C232/100</f>
        <v>0</v>
      </c>
      <c r="H232" s="12">
        <f>H223</f>
        <v>374095139.33183551</v>
      </c>
      <c r="I232" s="11">
        <f ca="1">H232*C232/100</f>
        <v>60872761.072076261</v>
      </c>
    </row>
    <row r="233" spans="2:9">
      <c r="D233" s="100"/>
      <c r="E233" s="190"/>
      <c r="F233" s="100"/>
      <c r="G233" s="190"/>
      <c r="H233" s="100"/>
      <c r="I233" s="190"/>
    </row>
    <row r="234" spans="2:9">
      <c r="B234" s="5" t="s">
        <v>9</v>
      </c>
      <c r="D234" s="12">
        <f t="shared" ref="D234:I234" si="156">D230+D231+D232</f>
        <v>2670384742.49228</v>
      </c>
      <c r="E234" s="11">
        <f t="shared" ca="1" si="156"/>
        <v>341437995.93496126</v>
      </c>
      <c r="F234" s="12">
        <f>F225</f>
        <v>1718630296</v>
      </c>
      <c r="G234" s="11">
        <f t="shared" ca="1" si="156"/>
        <v>201131303.54087996</v>
      </c>
      <c r="H234" s="12">
        <f t="shared" si="156"/>
        <v>951754446.49228001</v>
      </c>
      <c r="I234" s="11">
        <f t="shared" ca="1" si="156"/>
        <v>140306692.39408121</v>
      </c>
    </row>
    <row r="235" spans="2:9">
      <c r="B235" s="5" t="s">
        <v>60</v>
      </c>
      <c r="D235" s="12"/>
      <c r="E235" s="10">
        <f ca="1">E234/D234*100</f>
        <v>12.786097467599216</v>
      </c>
      <c r="F235" s="10"/>
      <c r="G235" s="10">
        <f ca="1">G234/F234*100</f>
        <v>11.702999999999998</v>
      </c>
      <c r="H235" s="12"/>
      <c r="I235" s="10">
        <f ca="1">I234/H234*100</f>
        <v>14.741900383148804</v>
      </c>
    </row>
    <row r="236" spans="2:9">
      <c r="D236" s="12"/>
      <c r="F236" s="12"/>
      <c r="G236" s="10"/>
      <c r="H236" s="12"/>
      <c r="I236" s="10"/>
    </row>
    <row r="237" spans="2:9">
      <c r="D237" s="12"/>
      <c r="F237" s="12"/>
      <c r="H237" s="12"/>
    </row>
    <row r="238" spans="2:9">
      <c r="D238" s="12"/>
      <c r="F238" s="12"/>
      <c r="H238" s="12"/>
    </row>
    <row r="239" spans="2:9">
      <c r="B239" s="104" t="s">
        <v>59</v>
      </c>
      <c r="D239" s="12"/>
      <c r="F239" s="12"/>
      <c r="H239" s="12"/>
    </row>
    <row r="240" spans="2:9">
      <c r="B240" s="14" t="s">
        <v>62</v>
      </c>
      <c r="D240" s="12"/>
      <c r="F240" s="12"/>
      <c r="H240" s="12"/>
    </row>
    <row r="241" spans="2:9">
      <c r="B241" s="85" t="s">
        <v>210</v>
      </c>
      <c r="C241" s="10">
        <f ca="1">E62</f>
        <v>12.766999999999999</v>
      </c>
      <c r="D241" s="12">
        <f>E8</f>
        <v>466372572.30339468</v>
      </c>
      <c r="E241" s="11">
        <f ca="1">C241*D241/100</f>
        <v>59541786.305974394</v>
      </c>
      <c r="F241" s="12">
        <f>MIN(D241,F244)</f>
        <v>466328703</v>
      </c>
      <c r="G241" s="11">
        <f ca="1">F241*C241/100</f>
        <v>59536185.512010001</v>
      </c>
      <c r="H241" s="12">
        <f>D241-F241</f>
        <v>43869.303394675255</v>
      </c>
      <c r="I241" s="11">
        <f ca="1">H241*C241/100</f>
        <v>5600.793964398189</v>
      </c>
    </row>
    <row r="242" spans="2:9">
      <c r="B242" s="85" t="s">
        <v>211</v>
      </c>
      <c r="C242" s="10">
        <f ca="1">E63</f>
        <v>9.2929999999999993</v>
      </c>
      <c r="D242" s="12">
        <f>E9</f>
        <v>234380452.38748533</v>
      </c>
      <c r="E242" s="11">
        <f ca="1">C242*D242/100</f>
        <v>21780975.44036901</v>
      </c>
      <c r="F242" s="12">
        <f>MIN(F244-F241,D242)</f>
        <v>0</v>
      </c>
      <c r="G242" s="11">
        <f ca="1">F242*C242/100</f>
        <v>0</v>
      </c>
      <c r="H242" s="12">
        <f>D242-F242</f>
        <v>234380452.38748533</v>
      </c>
      <c r="I242" s="11">
        <f ca="1">H242*C242/100</f>
        <v>21780975.44036901</v>
      </c>
    </row>
    <row r="243" spans="2:9">
      <c r="D243" s="100"/>
      <c r="E243" s="190"/>
      <c r="F243" s="100"/>
      <c r="G243" s="190"/>
      <c r="H243" s="100"/>
      <c r="I243" s="190"/>
    </row>
    <row r="244" spans="2:9">
      <c r="B244" s="5" t="s">
        <v>9</v>
      </c>
      <c r="D244" s="12">
        <f t="shared" ref="D244:I244" si="157">D241+D242</f>
        <v>700753024.69088006</v>
      </c>
      <c r="E244" s="11">
        <f t="shared" ca="1" si="157"/>
        <v>81322761.746343404</v>
      </c>
      <c r="F244" s="729">
        <v>466328703</v>
      </c>
      <c r="G244" s="11">
        <f t="shared" ca="1" si="157"/>
        <v>59536185.512010001</v>
      </c>
      <c r="H244" s="12">
        <f t="shared" si="157"/>
        <v>234424321.69088</v>
      </c>
      <c r="I244" s="11">
        <f t="shared" ca="1" si="157"/>
        <v>21786576.234333407</v>
      </c>
    </row>
    <row r="245" spans="2:9">
      <c r="B245" s="5" t="s">
        <v>60</v>
      </c>
      <c r="D245" s="12"/>
      <c r="E245" s="10">
        <f ca="1">E244/D244*100</f>
        <v>11.605053261413596</v>
      </c>
      <c r="F245" s="10"/>
      <c r="G245" s="10">
        <f ca="1">G244/F244*100</f>
        <v>12.767000000000001</v>
      </c>
      <c r="H245" s="12"/>
      <c r="I245" s="10">
        <f ca="1">I244/H244*100</f>
        <v>9.2936501115536707</v>
      </c>
    </row>
    <row r="246" spans="2:9">
      <c r="D246" s="12"/>
      <c r="F246" s="12"/>
      <c r="G246" s="10"/>
      <c r="H246" s="12"/>
      <c r="I246" s="10"/>
    </row>
    <row r="247" spans="2:9">
      <c r="B247" s="104" t="s">
        <v>61</v>
      </c>
      <c r="D247" s="12"/>
      <c r="F247" s="12"/>
      <c r="H247" s="12"/>
    </row>
    <row r="248" spans="2:9">
      <c r="B248" s="14" t="s">
        <v>62</v>
      </c>
      <c r="D248" s="12"/>
      <c r="F248" s="12"/>
      <c r="H248" s="12"/>
    </row>
    <row r="249" spans="2:9">
      <c r="B249" s="85" t="s">
        <v>210</v>
      </c>
      <c r="C249" s="10">
        <f ca="1">E79</f>
        <v>13.590999999999999</v>
      </c>
      <c r="D249" s="12">
        <f>E31</f>
        <v>466372572.30339468</v>
      </c>
      <c r="E249" s="11">
        <f ca="1">C249*D249/100</f>
        <v>63384696.30175437</v>
      </c>
      <c r="F249" s="12">
        <f>MIN(D249,F252)</f>
        <v>466328703</v>
      </c>
      <c r="G249" s="11">
        <f ca="1">F249*C249/100</f>
        <v>63378734.024729997</v>
      </c>
      <c r="H249" s="12">
        <f>D249-F249</f>
        <v>43869.303394675255</v>
      </c>
      <c r="I249" s="11">
        <f ca="1">H249*C249/100</f>
        <v>5962.2770243703135</v>
      </c>
    </row>
    <row r="250" spans="2:9">
      <c r="B250" s="85" t="s">
        <v>211</v>
      </c>
      <c r="C250" s="10">
        <f ca="1">E80</f>
        <v>9.8930000000000007</v>
      </c>
      <c r="D250" s="12">
        <f>E32</f>
        <v>234380452.38748533</v>
      </c>
      <c r="E250" s="11">
        <f ca="1">C250*D250/100</f>
        <v>23187258.154693924</v>
      </c>
      <c r="F250" s="12">
        <f>MIN(F252-F249,D250)</f>
        <v>0</v>
      </c>
      <c r="G250" s="11">
        <f ca="1">F250*C250/100</f>
        <v>0</v>
      </c>
      <c r="H250" s="12">
        <f>D250-F250</f>
        <v>234380452.38748533</v>
      </c>
      <c r="I250" s="11">
        <f ca="1">H250*C250/100</f>
        <v>23187258.154693924</v>
      </c>
    </row>
    <row r="251" spans="2:9">
      <c r="D251" s="100"/>
      <c r="E251" s="190"/>
      <c r="F251" s="100"/>
      <c r="G251" s="190"/>
      <c r="H251" s="100"/>
      <c r="I251" s="190"/>
    </row>
    <row r="252" spans="2:9">
      <c r="B252" s="5" t="s">
        <v>9</v>
      </c>
      <c r="D252" s="12">
        <f t="shared" ref="D252:I252" si="158">D249+D250</f>
        <v>700753024.69088006</v>
      </c>
      <c r="E252" s="11">
        <f t="shared" ca="1" si="158"/>
        <v>86571954.456448287</v>
      </c>
      <c r="F252" s="12">
        <f>F244</f>
        <v>466328703</v>
      </c>
      <c r="G252" s="11">
        <f t="shared" ca="1" si="158"/>
        <v>63378734.024729997</v>
      </c>
      <c r="H252" s="12">
        <f t="shared" si="158"/>
        <v>234424321.69088</v>
      </c>
      <c r="I252" s="11">
        <f t="shared" ca="1" si="158"/>
        <v>23193220.431718294</v>
      </c>
    </row>
    <row r="253" spans="2:9">
      <c r="B253" s="5" t="s">
        <v>60</v>
      </c>
      <c r="E253" s="10">
        <f ca="1">E252/D252*100</f>
        <v>12.354132113041876</v>
      </c>
      <c r="F253" s="10"/>
      <c r="G253" s="10">
        <f ca="1">G252/F252*100</f>
        <v>13.591000000000001</v>
      </c>
      <c r="I253" s="10">
        <f ca="1">I252/H252*100</f>
        <v>9.8936920300879336</v>
      </c>
    </row>
    <row r="261" spans="1:9">
      <c r="B261" s="298"/>
      <c r="C261" s="298"/>
      <c r="D261" s="298"/>
      <c r="E261" s="298"/>
      <c r="F261" s="298"/>
    </row>
    <row r="262" spans="1:9">
      <c r="B262" s="298"/>
    </row>
    <row r="263" spans="1:9">
      <c r="B263" s="298"/>
    </row>
    <row r="264" spans="1:9" s="2" customFormat="1" ht="12.75">
      <c r="A264" s="1"/>
      <c r="B264" s="258"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2.75">
      <c r="A265" s="1"/>
      <c r="C265"/>
      <c r="D265"/>
      <c r="E265" s="210"/>
      <c r="F265" s="17"/>
      <c r="G265" s="17"/>
      <c r="H265" s="17"/>
      <c r="I265" s="17"/>
    </row>
    <row r="266" spans="1:9" s="2" customFormat="1" ht="12.75">
      <c r="A266" s="1"/>
      <c r="C266" s="297"/>
      <c r="D266" s="297"/>
      <c r="E266" s="210"/>
      <c r="F266" s="17"/>
      <c r="G266" s="17"/>
      <c r="H266" s="17"/>
      <c r="I266" s="17"/>
    </row>
    <row r="267" spans="1:9" s="2" customFormat="1" ht="12.75">
      <c r="A267" s="1"/>
      <c r="C267" s="297"/>
      <c r="D267" s="297"/>
      <c r="E267" s="210"/>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104" t="s">
        <v>59</v>
      </c>
    </row>
    <row r="273" spans="2:9">
      <c r="B273" s="14" t="s">
        <v>370</v>
      </c>
    </row>
    <row r="274" spans="2:9">
      <c r="B274" s="85" t="s">
        <v>371</v>
      </c>
      <c r="C274" s="10">
        <f ca="1">G62</f>
        <v>7.7450000000000001</v>
      </c>
      <c r="D274" s="12">
        <f>G8</f>
        <v>1181273588.82234</v>
      </c>
      <c r="E274" s="11">
        <f ca="1">C274*D274/100</f>
        <v>91489639.454290241</v>
      </c>
      <c r="F274" s="12">
        <f>MIN(D274,F277)</f>
        <v>1181273588.82234</v>
      </c>
      <c r="G274" s="11">
        <f ca="1">F274*C274/100</f>
        <v>91489639.454290241</v>
      </c>
      <c r="H274" s="12">
        <f>D274-F274</f>
        <v>0</v>
      </c>
      <c r="I274" s="11">
        <f ca="1">H274*C274/100</f>
        <v>0</v>
      </c>
    </row>
    <row r="275" spans="2:9">
      <c r="B275" s="85" t="s">
        <v>372</v>
      </c>
      <c r="C275" s="10">
        <f ca="1">G63</f>
        <v>6.9020000000000001</v>
      </c>
      <c r="D275" s="12">
        <f>G9</f>
        <v>144121754.80867997</v>
      </c>
      <c r="E275" s="11">
        <f ca="1">C275*D275/100</f>
        <v>9947283.5168950912</v>
      </c>
      <c r="F275" s="12">
        <f>MIN(F277-F274,D275)</f>
        <v>0.17765998840332031</v>
      </c>
      <c r="G275" s="11">
        <f ca="1">F275*C275/100</f>
        <v>1.2262092399597168E-2</v>
      </c>
      <c r="H275" s="12">
        <f>D275-F275</f>
        <v>144121754.63101998</v>
      </c>
      <c r="I275" s="11">
        <f ca="1">H275*C275/100</f>
        <v>9947283.5046329983</v>
      </c>
    </row>
    <row r="276" spans="2:9">
      <c r="D276" s="100"/>
      <c r="E276" s="190"/>
      <c r="F276" s="100"/>
      <c r="G276" s="190"/>
      <c r="H276" s="100"/>
      <c r="I276" s="190"/>
    </row>
    <row r="277" spans="2:9">
      <c r="B277" s="5" t="s">
        <v>9</v>
      </c>
      <c r="D277" s="12">
        <f>D274+D275</f>
        <v>1325395343.6310201</v>
      </c>
      <c r="E277" s="12">
        <f ca="1">E274+E275</f>
        <v>101436922.97118533</v>
      </c>
      <c r="F277" s="729">
        <v>1181273589</v>
      </c>
      <c r="G277" s="12">
        <f ca="1">G274+G275</f>
        <v>91489639.466552332</v>
      </c>
      <c r="H277" s="12">
        <f>H274+H275</f>
        <v>144121754.63101998</v>
      </c>
      <c r="I277" s="12">
        <f ca="1">I274+I275</f>
        <v>9947283.5046329983</v>
      </c>
    </row>
    <row r="278" spans="2:9">
      <c r="B278" s="5" t="s">
        <v>60</v>
      </c>
      <c r="D278" s="12"/>
      <c r="E278" s="10">
        <f ca="1">E277/D277*100</f>
        <v>7.6533332834330974</v>
      </c>
      <c r="F278" s="12"/>
      <c r="G278" s="10">
        <f ca="1">G277/F277*100</f>
        <v>7.7449999998732162</v>
      </c>
      <c r="H278" s="12"/>
      <c r="I278" s="10">
        <f ca="1">I277/H277*100</f>
        <v>6.9020000000000001</v>
      </c>
    </row>
    <row r="279" spans="2:9">
      <c r="D279" s="12"/>
      <c r="F279" s="12"/>
      <c r="H279" s="12"/>
    </row>
    <row r="280" spans="2:9">
      <c r="B280" s="104" t="s">
        <v>61</v>
      </c>
      <c r="D280" s="12"/>
      <c r="F280" s="12"/>
      <c r="H280" s="12"/>
    </row>
    <row r="281" spans="2:9">
      <c r="B281" s="14" t="s">
        <v>370</v>
      </c>
      <c r="D281" s="12"/>
      <c r="F281" s="12"/>
      <c r="H281" s="12"/>
    </row>
    <row r="282" spans="2:9">
      <c r="B282" s="85" t="s">
        <v>371</v>
      </c>
      <c r="C282" s="10">
        <f ca="1">G79</f>
        <v>7.89</v>
      </c>
      <c r="D282" s="12">
        <f>D274</f>
        <v>1181273588.82234</v>
      </c>
      <c r="E282" s="11">
        <f ca="1">C282*D282/100</f>
        <v>93202486.158082619</v>
      </c>
      <c r="F282" s="12">
        <f>MIN(D282,F285)</f>
        <v>1181273588.82234</v>
      </c>
      <c r="G282" s="11">
        <f ca="1">F282*C282/100</f>
        <v>93202486.158082619</v>
      </c>
      <c r="H282" s="12">
        <f>H274</f>
        <v>0</v>
      </c>
      <c r="I282" s="11">
        <f ca="1">H282*C282/100</f>
        <v>0</v>
      </c>
    </row>
    <row r="283" spans="2:9">
      <c r="B283" s="85" t="s">
        <v>372</v>
      </c>
      <c r="C283" s="10">
        <f ca="1">G80</f>
        <v>7.0309999999999997</v>
      </c>
      <c r="D283" s="12">
        <f>D275</f>
        <v>144121754.80867997</v>
      </c>
      <c r="E283" s="11">
        <f ca="1">C283*D283/100</f>
        <v>10133200.580598287</v>
      </c>
      <c r="F283" s="12">
        <f>MIN(F285-F282,D283)</f>
        <v>0.17765998840332031</v>
      </c>
      <c r="G283" s="11">
        <f ca="1">F283*C283/100</f>
        <v>1.2491273784637451E-2</v>
      </c>
      <c r="H283" s="12">
        <f>H275</f>
        <v>144121754.63101998</v>
      </c>
      <c r="I283" s="11">
        <f ca="1">H283*C283/100</f>
        <v>10133200.568107015</v>
      </c>
    </row>
    <row r="284" spans="2:9">
      <c r="D284" s="100"/>
      <c r="E284" s="190"/>
      <c r="F284" s="100"/>
      <c r="G284" s="190"/>
      <c r="H284" s="100"/>
      <c r="I284" s="190"/>
    </row>
    <row r="285" spans="2:9">
      <c r="B285" s="5" t="s">
        <v>9</v>
      </c>
      <c r="D285" s="12">
        <f>D282+D283</f>
        <v>1325395343.6310201</v>
      </c>
      <c r="E285" s="12">
        <f ca="1">E282+E283</f>
        <v>103335686.7386809</v>
      </c>
      <c r="F285" s="12">
        <f>F277</f>
        <v>1181273589</v>
      </c>
      <c r="G285" s="12">
        <f ca="1">G282+G283</f>
        <v>93202486.17057389</v>
      </c>
      <c r="H285" s="12">
        <f>H282+H283</f>
        <v>144121754.63101998</v>
      </c>
      <c r="I285" s="12">
        <f ca="1">I282+I283</f>
        <v>10133200.568107015</v>
      </c>
    </row>
    <row r="286" spans="2:9">
      <c r="B286" s="5" t="s">
        <v>60</v>
      </c>
      <c r="D286" s="12"/>
      <c r="F286" s="12"/>
      <c r="G286" s="10">
        <f ca="1">G285/F285*100</f>
        <v>7.8899999998708088</v>
      </c>
      <c r="H286" s="12"/>
      <c r="I286" s="10">
        <f ca="1">I285/H285*100</f>
        <v>7.0309999999999997</v>
      </c>
    </row>
    <row r="294" spans="2:9">
      <c r="B294" s="298"/>
      <c r="C294" s="298"/>
      <c r="D294" s="298"/>
      <c r="E294" s="298"/>
      <c r="F294" s="298"/>
    </row>
    <row r="295" spans="2:9">
      <c r="B295" s="298"/>
    </row>
    <row r="299" spans="2:9">
      <c r="D299" s="9">
        <f ca="1">D207/D48</f>
        <v>17.433084806213781</v>
      </c>
      <c r="E299" s="9">
        <f ca="1">E207/E48</f>
        <v>18.600394585965276</v>
      </c>
      <c r="F299" s="9">
        <f ca="1">G207/G48</f>
        <v>367.69039489045878</v>
      </c>
      <c r="G299" s="9">
        <f ca="1">I207/I48</f>
        <v>10423.683733531732</v>
      </c>
      <c r="H299" s="9">
        <f ca="1">K207/K48</f>
        <v>52.042023704574355</v>
      </c>
      <c r="I299" s="9"/>
    </row>
    <row r="300" spans="2:9">
      <c r="D300" s="8">
        <f>D23/D25</f>
        <v>944.77574655364231</v>
      </c>
      <c r="E300" s="8">
        <f>E23/E25</f>
        <v>1626.2044399486488</v>
      </c>
      <c r="F300" s="8">
        <f>G23/G25</f>
        <v>62906.672838364531</v>
      </c>
      <c r="G300" s="8">
        <f>I23/I25</f>
        <v>2491448.3578055557</v>
      </c>
      <c r="H300" s="8">
        <f>K23/K25</f>
        <v>4595.009516478598</v>
      </c>
    </row>
    <row r="301" spans="2:9">
      <c r="D301" s="503" t="e">
        <f>D300*-#REF!</f>
        <v>#REF!</v>
      </c>
      <c r="E301" s="503" t="e">
        <f>E300*-#REF!</f>
        <v>#REF!</v>
      </c>
      <c r="F301" s="503" t="e">
        <f>F300*-#REF!</f>
        <v>#REF!</v>
      </c>
      <c r="G301" s="503" t="e">
        <f>G300*-#REF!</f>
        <v>#REF!</v>
      </c>
      <c r="H301" s="503" t="e">
        <f>H300*-#REF!</f>
        <v>#REF!</v>
      </c>
    </row>
    <row r="302" spans="2:9">
      <c r="D302" s="418">
        <f ca="1">(800*((D79-D62)/100))+(118*((D80-D63)/100))+(D76-D59)</f>
        <v>15.91056</v>
      </c>
    </row>
    <row r="305" spans="4:8">
      <c r="D305" s="9" t="e">
        <f ca="1">D299+D301</f>
        <v>#REF!</v>
      </c>
      <c r="E305" s="9" t="e">
        <f ca="1">E299+E301</f>
        <v>#REF!</v>
      </c>
      <c r="F305" s="9" t="e">
        <f ca="1">F299+F301</f>
        <v>#REF!</v>
      </c>
      <c r="G305" s="9" t="e">
        <f ca="1">G299+G301</f>
        <v>#REF!</v>
      </c>
      <c r="H305" s="9" t="e">
        <f ca="1">H299+H301</f>
        <v>#REF!</v>
      </c>
    </row>
    <row r="309" spans="4:8">
      <c r="D309" s="12"/>
    </row>
    <row r="310" spans="4:8">
      <c r="D310" s="12"/>
    </row>
    <row r="311" spans="4:8">
      <c r="D311" s="8"/>
    </row>
  </sheetData>
  <mergeCells count="2">
    <mergeCell ref="S6:U11"/>
    <mergeCell ref="B95:K96"/>
  </mergeCells>
  <phoneticPr fontId="0" type="noConversion"/>
  <conditionalFormatting sqref="O55">
    <cfRule type="cellIs" dxfId="66" priority="1" stopIfTrue="1" operator="greaterThan">
      <formula>0</formula>
    </cfRule>
  </conditionalFormatting>
  <pageMargins left="0.75" right="0.75" top="0.5" bottom="0.5" header="0.25" footer="0.5"/>
  <pageSetup scale="74" orientation="landscape" r:id="rId1"/>
  <headerFooter alignWithMargins="0">
    <oddHeader>&amp;C&amp;"Arial,Bold"&amp;9AVISTA UTILITIES
WASHINGTON ELECTRIC
PRO FORMA REVENUE UNDER PRESENT AND PROPOSED BASE TARIFF RATES
12 MONTHS ENDED JUNE 30, 2023</oddHeader>
  </headerFooter>
  <rowBreaks count="5" manualBreakCount="5">
    <brk id="51" max="8" man="1"/>
    <brk id="100" max="8" man="1"/>
    <brk id="154" max="8" man="1"/>
    <brk id="209" max="8" man="1"/>
    <brk id="264" max="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autoPageBreaks="0" fitToPage="1"/>
  </sheetPr>
  <dimension ref="A1:AC136"/>
  <sheetViews>
    <sheetView showGridLines="0" zoomScaleNormal="100" workbookViewId="0">
      <pane xSplit="2" ySplit="2" topLeftCell="C60" activePane="bottomRight" state="frozen"/>
      <selection activeCell="G27" sqref="G27"/>
      <selection pane="topRight" activeCell="G27" sqref="G27"/>
      <selection pane="bottomLeft" activeCell="G27" sqref="G27"/>
      <selection pane="bottomRight" activeCell="K86" sqref="K86"/>
    </sheetView>
  </sheetViews>
  <sheetFormatPr defaultRowHeight="12.75"/>
  <cols>
    <col min="1" max="1" width="8.7109375" customWidth="1"/>
    <col min="2" max="2" width="24.28515625" customWidth="1"/>
    <col min="3" max="3" width="20.85546875" bestFit="1" customWidth="1"/>
    <col min="4" max="4" width="16.28515625" bestFit="1" customWidth="1"/>
    <col min="5" max="5" width="14.7109375" customWidth="1"/>
    <col min="6" max="6" width="14.7109375" style="554" customWidth="1"/>
    <col min="7" max="7" width="15.7109375" customWidth="1"/>
    <col min="8" max="8" width="15.7109375" style="554" customWidth="1"/>
    <col min="9" max="9" width="14.7109375" customWidth="1"/>
    <col min="10" max="10" width="14.7109375" style="554" customWidth="1"/>
    <col min="11" max="13" width="14.7109375" customWidth="1"/>
    <col min="17" max="18" width="14.7109375" customWidth="1"/>
    <col min="19" max="19" width="14.7109375" style="554" customWidth="1"/>
    <col min="20" max="20" width="14.7109375" customWidth="1"/>
    <col min="21" max="21" width="14.7109375" style="554" customWidth="1"/>
    <col min="22" max="22" width="14.7109375" customWidth="1"/>
    <col min="23" max="23" width="14.7109375" style="554" customWidth="1"/>
    <col min="24" max="24" width="14.7109375" customWidth="1"/>
  </cols>
  <sheetData>
    <row r="1" spans="1:24" ht="15">
      <c r="A1" s="60" t="s">
        <v>32</v>
      </c>
      <c r="C1" s="108"/>
      <c r="D1">
        <v>1</v>
      </c>
      <c r="E1">
        <v>2</v>
      </c>
      <c r="F1" s="554">
        <v>3</v>
      </c>
      <c r="G1">
        <v>4</v>
      </c>
      <c r="H1" s="554">
        <v>5</v>
      </c>
      <c r="I1">
        <v>6</v>
      </c>
      <c r="J1" s="554">
        <v>7</v>
      </c>
      <c r="K1">
        <v>8</v>
      </c>
      <c r="L1">
        <v>9</v>
      </c>
      <c r="Q1" s="76" t="s">
        <v>247</v>
      </c>
    </row>
    <row r="2" spans="1:24">
      <c r="C2" s="57" t="s">
        <v>9</v>
      </c>
      <c r="D2" s="206" t="s">
        <v>902</v>
      </c>
      <c r="E2" s="57" t="s">
        <v>11</v>
      </c>
      <c r="F2" s="443" t="s">
        <v>749</v>
      </c>
      <c r="G2" s="57" t="s">
        <v>12</v>
      </c>
      <c r="H2" s="443" t="s">
        <v>750</v>
      </c>
      <c r="I2" s="57" t="s">
        <v>250</v>
      </c>
      <c r="J2" s="443" t="s">
        <v>752</v>
      </c>
      <c r="K2" s="57" t="s">
        <v>14</v>
      </c>
      <c r="L2" s="57"/>
      <c r="O2" s="125" t="s">
        <v>203</v>
      </c>
      <c r="Q2" s="57" t="s">
        <v>592</v>
      </c>
      <c r="R2" s="57" t="s">
        <v>11</v>
      </c>
      <c r="S2" s="443" t="s">
        <v>749</v>
      </c>
      <c r="T2" s="57" t="s">
        <v>12</v>
      </c>
      <c r="U2" s="443" t="s">
        <v>750</v>
      </c>
      <c r="V2" s="57" t="s">
        <v>13</v>
      </c>
      <c r="W2" s="443" t="s">
        <v>751</v>
      </c>
      <c r="X2" s="57" t="s">
        <v>14</v>
      </c>
    </row>
    <row r="3" spans="1:24">
      <c r="B3" s="108" t="s">
        <v>197</v>
      </c>
      <c r="C3" s="57"/>
      <c r="D3" s="57"/>
      <c r="E3" s="57"/>
      <c r="F3" s="443"/>
      <c r="G3" s="57"/>
      <c r="H3" s="443"/>
      <c r="I3" s="57"/>
      <c r="J3" s="443"/>
      <c r="K3" s="57"/>
      <c r="L3" s="57"/>
      <c r="O3" s="125"/>
    </row>
    <row r="4" spans="1:24">
      <c r="A4">
        <v>1</v>
      </c>
      <c r="B4" t="s">
        <v>33</v>
      </c>
      <c r="C4" s="675"/>
      <c r="D4" s="112">
        <v>10</v>
      </c>
      <c r="E4" s="112">
        <v>25</v>
      </c>
      <c r="F4" s="112">
        <v>25</v>
      </c>
      <c r="G4" s="112">
        <v>0</v>
      </c>
      <c r="H4" s="112">
        <v>0</v>
      </c>
      <c r="I4" s="869">
        <v>0</v>
      </c>
      <c r="J4" s="112">
        <v>0</v>
      </c>
      <c r="K4" s="112">
        <v>25</v>
      </c>
      <c r="L4" s="112"/>
      <c r="M4" s="113"/>
    </row>
    <row r="5" spans="1:24">
      <c r="A5">
        <v>2</v>
      </c>
      <c r="B5" t="s">
        <v>35</v>
      </c>
      <c r="D5" s="114">
        <v>10.007999999999999</v>
      </c>
      <c r="E5" s="114">
        <v>12.766999999999999</v>
      </c>
      <c r="F5" s="114">
        <v>23.573</v>
      </c>
      <c r="G5" s="114">
        <v>7.7450000000000001</v>
      </c>
      <c r="H5" s="114">
        <v>16.687999999999999</v>
      </c>
      <c r="I5" s="870">
        <v>5.6379999999999999</v>
      </c>
      <c r="J5" s="114">
        <v>4.8579999999999997</v>
      </c>
      <c r="K5" s="114">
        <v>12.228999999999999</v>
      </c>
      <c r="L5" s="114"/>
      <c r="M5" s="113"/>
      <c r="Q5" s="166">
        <v>800</v>
      </c>
      <c r="R5" s="166">
        <v>3650</v>
      </c>
      <c r="S5" s="166">
        <v>3650</v>
      </c>
      <c r="T5" s="166">
        <v>250000</v>
      </c>
      <c r="U5" s="166">
        <v>250000</v>
      </c>
      <c r="V5" s="166">
        <v>500000</v>
      </c>
      <c r="W5" s="166">
        <v>500000</v>
      </c>
      <c r="X5" s="166"/>
    </row>
    <row r="6" spans="1:24">
      <c r="A6">
        <v>3</v>
      </c>
      <c r="B6" t="s">
        <v>36</v>
      </c>
      <c r="D6" s="114">
        <v>11.759</v>
      </c>
      <c r="E6" s="114">
        <v>9.2929999999999993</v>
      </c>
      <c r="F6" s="114">
        <v>9.3870000000000005</v>
      </c>
      <c r="G6" s="114">
        <v>6.9020000000000001</v>
      </c>
      <c r="H6" s="114">
        <v>6.7430000000000003</v>
      </c>
      <c r="I6" s="870">
        <v>5.0629999999999997</v>
      </c>
      <c r="J6" s="114">
        <v>4.3659999999999997</v>
      </c>
      <c r="K6" s="114">
        <v>8.5579999999999998</v>
      </c>
      <c r="L6" s="114"/>
      <c r="M6" s="113"/>
      <c r="Q6" s="166">
        <v>1500</v>
      </c>
      <c r="R6" s="166">
        <v>9999999</v>
      </c>
      <c r="S6" s="166">
        <v>9999999</v>
      </c>
      <c r="T6" s="166">
        <v>9999999</v>
      </c>
      <c r="U6" s="166">
        <v>9999999</v>
      </c>
      <c r="V6" s="166">
        <v>9999999</v>
      </c>
      <c r="W6" s="166">
        <v>9999999</v>
      </c>
      <c r="X6" s="166"/>
    </row>
    <row r="7" spans="1:24">
      <c r="A7">
        <v>4</v>
      </c>
      <c r="B7" t="s">
        <v>37</v>
      </c>
      <c r="D7" s="114">
        <v>13.914</v>
      </c>
      <c r="E7" s="114">
        <v>0</v>
      </c>
      <c r="F7" s="114">
        <v>0</v>
      </c>
      <c r="G7" s="114">
        <v>0</v>
      </c>
      <c r="H7" s="114">
        <v>0</v>
      </c>
      <c r="I7" s="870">
        <v>4.1310000000000002</v>
      </c>
      <c r="J7" s="114">
        <v>3.7240000000000002</v>
      </c>
      <c r="K7" s="114"/>
      <c r="L7" s="114"/>
      <c r="M7" s="113"/>
      <c r="O7" t="s">
        <v>202</v>
      </c>
      <c r="Q7" s="166">
        <v>9999999</v>
      </c>
      <c r="R7" s="166">
        <v>9999999</v>
      </c>
      <c r="S7" s="166">
        <v>9999999</v>
      </c>
      <c r="T7" s="166">
        <v>9999999</v>
      </c>
      <c r="U7" s="166">
        <v>9999999</v>
      </c>
      <c r="V7" s="166">
        <v>9999999</v>
      </c>
      <c r="W7" s="166">
        <v>9999999</v>
      </c>
      <c r="X7" s="166"/>
    </row>
    <row r="8" spans="1:24">
      <c r="A8">
        <v>5</v>
      </c>
      <c r="B8" t="s">
        <v>38</v>
      </c>
      <c r="D8" s="114"/>
      <c r="E8" s="114"/>
      <c r="F8" s="114"/>
      <c r="G8" s="114"/>
      <c r="H8" s="114"/>
      <c r="I8" s="870"/>
      <c r="J8" s="114"/>
      <c r="K8" s="114"/>
      <c r="L8" s="114"/>
      <c r="M8" s="113"/>
    </row>
    <row r="9" spans="1:24">
      <c r="A9">
        <v>6</v>
      </c>
      <c r="B9" t="s">
        <v>248</v>
      </c>
      <c r="D9" s="112">
        <v>0</v>
      </c>
      <c r="E9" s="112">
        <v>0</v>
      </c>
      <c r="F9" s="112">
        <v>0</v>
      </c>
      <c r="G9" s="112">
        <v>750</v>
      </c>
      <c r="H9" s="112">
        <v>750</v>
      </c>
      <c r="I9" s="869">
        <v>38300</v>
      </c>
      <c r="J9" s="112">
        <v>30650</v>
      </c>
      <c r="K9" s="112">
        <v>0</v>
      </c>
      <c r="L9" s="112"/>
      <c r="M9" s="113"/>
      <c r="Q9" s="166"/>
      <c r="R9" s="166"/>
      <c r="S9" s="166"/>
      <c r="T9" s="166"/>
      <c r="U9" s="166"/>
      <c r="V9" s="166"/>
      <c r="W9" s="166"/>
    </row>
    <row r="10" spans="1:24">
      <c r="A10">
        <v>7</v>
      </c>
      <c r="B10" t="s">
        <v>40</v>
      </c>
      <c r="D10" s="112">
        <v>0</v>
      </c>
      <c r="E10" s="112">
        <v>9</v>
      </c>
      <c r="F10" s="112">
        <v>0</v>
      </c>
      <c r="G10" s="112">
        <v>9</v>
      </c>
      <c r="H10" s="112">
        <v>0</v>
      </c>
      <c r="I10" s="869">
        <v>10.35</v>
      </c>
      <c r="J10" s="112">
        <v>9</v>
      </c>
      <c r="K10" s="112">
        <v>0</v>
      </c>
      <c r="L10" s="112"/>
      <c r="M10" s="113"/>
      <c r="Q10" s="166">
        <v>0</v>
      </c>
      <c r="R10" s="166">
        <v>20</v>
      </c>
      <c r="S10" s="166">
        <v>20</v>
      </c>
      <c r="T10" s="166">
        <v>50</v>
      </c>
      <c r="U10" s="166">
        <v>50</v>
      </c>
      <c r="V10" s="166">
        <v>3000</v>
      </c>
      <c r="W10" s="166">
        <v>3000</v>
      </c>
    </row>
    <row r="11" spans="1:24">
      <c r="D11" s="113"/>
      <c r="E11" s="113"/>
      <c r="F11" s="113"/>
      <c r="G11" s="113"/>
      <c r="H11" s="113"/>
      <c r="I11" s="113"/>
      <c r="J11" s="113"/>
      <c r="K11" s="113"/>
      <c r="L11" s="113"/>
      <c r="M11" s="113"/>
    </row>
    <row r="12" spans="1:24">
      <c r="B12" s="646" t="s">
        <v>198</v>
      </c>
      <c r="C12" s="108"/>
      <c r="D12" t="str">
        <f>IF(D13&lt;&gt;'Pres &amp; Prop Rev'!D$5,#VALUE!,"")</f>
        <v/>
      </c>
      <c r="E12" t="str">
        <f>IF(E13&lt;&gt;'Pres &amp; Prop Rev'!E$5,#VALUE!,"")</f>
        <v/>
      </c>
      <c r="F12" s="554" t="str">
        <f>IF(F13&lt;&gt;'Pres &amp; Prop Rev'!F$5,#VALUE!,"")</f>
        <v/>
      </c>
      <c r="G12" t="str">
        <f>IF(G13&lt;&gt;'Pres &amp; Prop Rev'!G$5,#VALUE!,"")</f>
        <v/>
      </c>
      <c r="H12" s="554" t="str">
        <f>IF(H13&lt;&gt;'Pres &amp; Prop Rev'!H$5,#VALUE!,"")</f>
        <v/>
      </c>
      <c r="I12" t="str">
        <f>IF(I13&lt;&gt;'Pres &amp; Prop Rev'!I$5,#VALUE!,"")</f>
        <v/>
      </c>
      <c r="J12" s="554" t="str">
        <f>IF(J13&lt;&gt;'Pres &amp; Prop Rev'!J$5,#VALUE!,"")</f>
        <v/>
      </c>
      <c r="K12" t="str">
        <f>IF(K13&lt;&gt;'Pres &amp; Prop Rev'!K$5,#VALUE!,"")</f>
        <v/>
      </c>
    </row>
    <row r="13" spans="1:24">
      <c r="D13" s="206" t="s">
        <v>10</v>
      </c>
      <c r="E13" s="206" t="s">
        <v>11</v>
      </c>
      <c r="F13" s="443" t="s">
        <v>749</v>
      </c>
      <c r="G13" s="206" t="s">
        <v>12</v>
      </c>
      <c r="H13" s="443" t="s">
        <v>750</v>
      </c>
      <c r="I13" s="57" t="s">
        <v>13</v>
      </c>
      <c r="J13" s="443" t="s">
        <v>751</v>
      </c>
      <c r="K13" s="57" t="s">
        <v>14</v>
      </c>
      <c r="L13" s="57"/>
      <c r="M13" s="220"/>
    </row>
    <row r="14" spans="1:24">
      <c r="A14">
        <v>1</v>
      </c>
      <c r="B14" t="s">
        <v>33</v>
      </c>
      <c r="D14" s="115">
        <v>10</v>
      </c>
      <c r="E14" s="115">
        <v>25</v>
      </c>
      <c r="F14" s="115">
        <v>25</v>
      </c>
      <c r="G14" s="115">
        <v>0</v>
      </c>
      <c r="H14" s="115">
        <v>0</v>
      </c>
      <c r="I14" s="115">
        <v>0</v>
      </c>
      <c r="J14" s="115">
        <v>0</v>
      </c>
      <c r="K14" s="115">
        <v>25</v>
      </c>
      <c r="L14" s="115"/>
      <c r="M14" s="116"/>
    </row>
    <row r="15" spans="1:24">
      <c r="A15">
        <v>2</v>
      </c>
      <c r="B15" t="s">
        <v>35</v>
      </c>
      <c r="D15" s="117">
        <f>D5-0.386+0.002-0.079-0.509+0.114+0.498+0.334+0.305-0.004+0.654</f>
        <v>10.936999999999999</v>
      </c>
      <c r="E15" s="117">
        <f>E5+0.002+0.143+0.17+0.586+0.381+0.298-0.004+0.323</f>
        <v>14.666000000000002</v>
      </c>
      <c r="F15" s="117">
        <f>F5+0.002+0.143+0.17+0.586+0.381+0.298-0.004+0.323</f>
        <v>25.471999999999998</v>
      </c>
      <c r="G15" s="117">
        <f>G5+0.001+0.143+0.12+0.505+0.319+0.323-0.004+0.253</f>
        <v>9.4050000000000029</v>
      </c>
      <c r="H15" s="117">
        <f>H5+0.001+0.143+0.12+0.505+0.319+0.323-0.004+0.253</f>
        <v>18.347999999999999</v>
      </c>
      <c r="I15" s="117">
        <f>I5+0.001+0.053+0.316+0.236+0.296-0.004+0.092</f>
        <v>6.6280000000000001</v>
      </c>
      <c r="J15" s="117">
        <f>J5+0.001+0.018+0.239+0.236+0.296-0.004+0.059</f>
        <v>5.7030000000000003</v>
      </c>
      <c r="K15" s="117">
        <f>K5+0.002+0.143-0.448+0.124+0.512+0.334+0.348-0.004+0.575</f>
        <v>13.815000000000001</v>
      </c>
      <c r="L15" s="117"/>
      <c r="M15" s="116"/>
      <c r="Q15" s="70">
        <f t="shared" ref="Q15:W17" si="0">Q5</f>
        <v>800</v>
      </c>
      <c r="R15" s="70">
        <f t="shared" si="0"/>
        <v>3650</v>
      </c>
      <c r="S15" s="70">
        <f t="shared" si="0"/>
        <v>3650</v>
      </c>
      <c r="T15" s="70">
        <f t="shared" si="0"/>
        <v>250000</v>
      </c>
      <c r="U15" s="70">
        <f t="shared" si="0"/>
        <v>250000</v>
      </c>
      <c r="V15" s="70">
        <f t="shared" si="0"/>
        <v>500000</v>
      </c>
      <c r="W15" s="70">
        <f t="shared" si="0"/>
        <v>500000</v>
      </c>
    </row>
    <row r="16" spans="1:24">
      <c r="A16">
        <v>3</v>
      </c>
      <c r="B16" t="s">
        <v>36</v>
      </c>
      <c r="D16" s="117">
        <f t="shared" ref="D16:D17" si="1">D6-0.386+0.002-0.079-0.509+0.114+0.498+0.334+0.305-0.004+0.654</f>
        <v>12.688000000000001</v>
      </c>
      <c r="E16" s="117">
        <f>E6+0.002+0.143+0.17+0.586+0.381+0.298-0.004+0.323</f>
        <v>11.192000000000002</v>
      </c>
      <c r="F16" s="117">
        <f>F6+0.002+0.143+0.17+0.586+0.381+0.298-0.004+0.323</f>
        <v>11.286000000000003</v>
      </c>
      <c r="G16" s="117">
        <f>G6+0.001+0.143+0.12+0.505+0.319+0.323-0.004+0.253</f>
        <v>8.5620000000000012</v>
      </c>
      <c r="H16" s="117">
        <f>H6+0.001+0.143+0.12+0.505+0.319+0.323-0.004+0.253</f>
        <v>8.4030000000000005</v>
      </c>
      <c r="I16" s="117">
        <f>I6+0.001+0.053+0.316+0.236+0.296-0.004+0.092</f>
        <v>6.0529999999999999</v>
      </c>
      <c r="J16" s="117">
        <f t="shared" ref="J16" si="2">J6+0.001+0.018+0.239+0.236+0.296-0.004+0.059</f>
        <v>5.2110000000000003</v>
      </c>
      <c r="K16" s="117">
        <f>K6+0.002+0.143-0.448+0.124+0.512+0.334+0.348-0.004+0.575</f>
        <v>10.144000000000002</v>
      </c>
      <c r="L16" s="117"/>
      <c r="M16" s="116"/>
      <c r="Q16" s="70">
        <f t="shared" si="0"/>
        <v>1500</v>
      </c>
      <c r="R16" s="70">
        <f t="shared" si="0"/>
        <v>9999999</v>
      </c>
      <c r="S16" s="70">
        <f t="shared" si="0"/>
        <v>9999999</v>
      </c>
      <c r="T16" s="70">
        <f t="shared" si="0"/>
        <v>9999999</v>
      </c>
      <c r="U16" s="70">
        <f t="shared" si="0"/>
        <v>9999999</v>
      </c>
      <c r="V16" s="70">
        <f t="shared" si="0"/>
        <v>9999999</v>
      </c>
      <c r="W16" s="70">
        <f t="shared" si="0"/>
        <v>9999999</v>
      </c>
    </row>
    <row r="17" spans="1:27">
      <c r="A17">
        <v>4</v>
      </c>
      <c r="B17" t="s">
        <v>37</v>
      </c>
      <c r="D17" s="117">
        <f t="shared" si="1"/>
        <v>14.843</v>
      </c>
      <c r="E17" s="117"/>
      <c r="F17" s="117"/>
      <c r="G17" s="117"/>
      <c r="H17" s="117"/>
      <c r="I17" s="117">
        <f>I7+0.001+0.053+0.316+0.296-0.004+0.092</f>
        <v>4.8850000000000007</v>
      </c>
      <c r="J17" s="117">
        <f>J7+0.001+0.018+0.239+0.296-0.004+0.059</f>
        <v>4.3330000000000002</v>
      </c>
      <c r="K17" s="117"/>
      <c r="L17" s="117"/>
      <c r="M17" s="116"/>
      <c r="O17" t="s">
        <v>204</v>
      </c>
      <c r="Q17" s="70">
        <f t="shared" si="0"/>
        <v>9999999</v>
      </c>
      <c r="R17" s="70">
        <f t="shared" si="0"/>
        <v>9999999</v>
      </c>
      <c r="S17" s="70">
        <f t="shared" si="0"/>
        <v>9999999</v>
      </c>
      <c r="T17" s="70">
        <f t="shared" si="0"/>
        <v>9999999</v>
      </c>
      <c r="U17" s="70">
        <f t="shared" si="0"/>
        <v>9999999</v>
      </c>
      <c r="V17" s="70">
        <f t="shared" si="0"/>
        <v>9999999</v>
      </c>
      <c r="W17" s="70">
        <f t="shared" si="0"/>
        <v>9999999</v>
      </c>
    </row>
    <row r="18" spans="1:27">
      <c r="A18">
        <v>5</v>
      </c>
      <c r="B18" t="s">
        <v>38</v>
      </c>
      <c r="D18" s="117"/>
      <c r="E18" s="117"/>
      <c r="F18" s="117"/>
      <c r="G18" s="117"/>
      <c r="H18" s="117"/>
      <c r="I18" s="117"/>
      <c r="J18" s="117"/>
      <c r="K18" s="117"/>
      <c r="L18" s="117"/>
      <c r="M18" s="116"/>
    </row>
    <row r="19" spans="1:27">
      <c r="A19">
        <v>6</v>
      </c>
      <c r="B19" t="s">
        <v>248</v>
      </c>
      <c r="D19" s="115">
        <f>D9</f>
        <v>0</v>
      </c>
      <c r="E19" s="115">
        <f t="shared" ref="E19:K19" si="3">E9</f>
        <v>0</v>
      </c>
      <c r="F19" s="115">
        <f t="shared" si="3"/>
        <v>0</v>
      </c>
      <c r="G19" s="115">
        <f t="shared" si="3"/>
        <v>750</v>
      </c>
      <c r="H19" s="115">
        <f t="shared" si="3"/>
        <v>750</v>
      </c>
      <c r="I19" s="115">
        <f t="shared" si="3"/>
        <v>38300</v>
      </c>
      <c r="J19" s="115">
        <f t="shared" si="3"/>
        <v>30650</v>
      </c>
      <c r="K19" s="115">
        <f t="shared" si="3"/>
        <v>0</v>
      </c>
      <c r="L19" s="118"/>
      <c r="M19" s="116"/>
      <c r="Q19" s="70"/>
      <c r="R19" s="70"/>
      <c r="S19" s="70"/>
      <c r="T19" s="70"/>
      <c r="U19" s="70"/>
      <c r="V19" s="70"/>
      <c r="W19" s="70"/>
    </row>
    <row r="20" spans="1:27">
      <c r="A20">
        <v>7</v>
      </c>
      <c r="B20" t="s">
        <v>40</v>
      </c>
      <c r="D20" s="115">
        <f>D10</f>
        <v>0</v>
      </c>
      <c r="E20" s="115">
        <f t="shared" ref="E20:K20" si="4">E10</f>
        <v>9</v>
      </c>
      <c r="F20" s="115">
        <f t="shared" si="4"/>
        <v>0</v>
      </c>
      <c r="G20" s="115">
        <f t="shared" si="4"/>
        <v>9</v>
      </c>
      <c r="H20" s="115">
        <f t="shared" si="4"/>
        <v>0</v>
      </c>
      <c r="I20" s="115">
        <f t="shared" si="4"/>
        <v>10.35</v>
      </c>
      <c r="J20" s="115">
        <f t="shared" si="4"/>
        <v>9</v>
      </c>
      <c r="K20" s="115">
        <f t="shared" si="4"/>
        <v>0</v>
      </c>
      <c r="L20" s="118"/>
      <c r="M20" s="116"/>
      <c r="Q20" s="70">
        <f t="shared" ref="Q20:W20" si="5">Q10</f>
        <v>0</v>
      </c>
      <c r="R20" s="70">
        <f t="shared" si="5"/>
        <v>20</v>
      </c>
      <c r="S20" s="70">
        <f t="shared" si="5"/>
        <v>20</v>
      </c>
      <c r="T20" s="70">
        <f t="shared" si="5"/>
        <v>50</v>
      </c>
      <c r="U20" s="70">
        <f t="shared" si="5"/>
        <v>50</v>
      </c>
      <c r="V20" s="70">
        <f t="shared" si="5"/>
        <v>3000</v>
      </c>
      <c r="W20" s="70">
        <f t="shared" si="5"/>
        <v>3000</v>
      </c>
    </row>
    <row r="21" spans="1:27">
      <c r="C21" s="256"/>
      <c r="D21" s="255"/>
      <c r="E21" s="265"/>
      <c r="F21" s="265"/>
      <c r="G21" s="265"/>
      <c r="H21" s="265"/>
      <c r="I21" s="265"/>
      <c r="J21" s="265"/>
      <c r="K21" s="265"/>
      <c r="L21" s="116"/>
      <c r="M21" s="116"/>
    </row>
    <row r="22" spans="1:27" ht="15">
      <c r="A22" s="60" t="s">
        <v>42</v>
      </c>
      <c r="B22" s="108"/>
      <c r="C22" s="257"/>
      <c r="D22" s="257"/>
      <c r="E22" s="263"/>
      <c r="F22" s="263"/>
      <c r="G22" s="263"/>
      <c r="H22" s="263"/>
      <c r="I22" s="263"/>
      <c r="J22" s="263"/>
      <c r="K22" s="263"/>
    </row>
    <row r="23" spans="1:27">
      <c r="A23" s="108"/>
      <c r="B23" s="108"/>
      <c r="C23" s="256"/>
      <c r="D23" s="256"/>
      <c r="E23" s="266"/>
      <c r="F23" s="266"/>
      <c r="G23" s="266"/>
      <c r="H23" s="266"/>
      <c r="I23" s="266"/>
      <c r="J23" s="266"/>
      <c r="K23" s="266"/>
    </row>
    <row r="24" spans="1:27">
      <c r="B24" s="108" t="s">
        <v>197</v>
      </c>
      <c r="C24" s="108"/>
      <c r="D24" t="str">
        <f>IF(D25&lt;&gt;'Pres &amp; Prop Rev'!D$5,#VALUE!,"")</f>
        <v/>
      </c>
      <c r="E24" t="str">
        <f>IF(E25&lt;&gt;'Pres &amp; Prop Rev'!E$5,#VALUE!,"")</f>
        <v/>
      </c>
      <c r="F24" s="554" t="str">
        <f>IF(F25&lt;&gt;'Pres &amp; Prop Rev'!F$5,#VALUE!,"")</f>
        <v/>
      </c>
      <c r="G24" t="str">
        <f>IF(G25&lt;&gt;'Pres &amp; Prop Rev'!G$5,#VALUE!,"")</f>
        <v/>
      </c>
      <c r="H24" s="554" t="str">
        <f>IF(H25&lt;&gt;'Pres &amp; Prop Rev'!H$5,#VALUE!,"")</f>
        <v/>
      </c>
      <c r="I24" t="str">
        <f>IF(I25&lt;&gt;'Pres &amp; Prop Rev'!I$5,#VALUE!,"")</f>
        <v/>
      </c>
      <c r="J24" s="554" t="str">
        <f>IF(J25&lt;&gt;'Pres &amp; Prop Rev'!J$5,#VALUE!,"")</f>
        <v/>
      </c>
      <c r="K24" t="str">
        <f>IF(K25&lt;&gt;'Pres &amp; Prop Rev'!K$5,#VALUE!,"")</f>
        <v/>
      </c>
    </row>
    <row r="25" spans="1:27">
      <c r="D25" s="206" t="s">
        <v>10</v>
      </c>
      <c r="E25" s="206" t="s">
        <v>11</v>
      </c>
      <c r="F25" s="443" t="s">
        <v>749</v>
      </c>
      <c r="G25" s="206" t="s">
        <v>12</v>
      </c>
      <c r="H25" s="443" t="s">
        <v>750</v>
      </c>
      <c r="I25" s="57" t="s">
        <v>13</v>
      </c>
      <c r="J25" s="443" t="s">
        <v>751</v>
      </c>
      <c r="K25" s="57" t="s">
        <v>14</v>
      </c>
      <c r="L25" s="57"/>
      <c r="Z25" s="76" t="s">
        <v>276</v>
      </c>
    </row>
    <row r="26" spans="1:27">
      <c r="A26">
        <v>1</v>
      </c>
      <c r="B26" t="s">
        <v>33</v>
      </c>
      <c r="D26" s="119">
        <f>ROUND(D62,$Z26)</f>
        <v>10</v>
      </c>
      <c r="E26" s="119">
        <f t="shared" ref="E26:K26" si="6">ROUND(E62,$Z26)</f>
        <v>30</v>
      </c>
      <c r="F26" s="119">
        <f t="shared" si="6"/>
        <v>30</v>
      </c>
      <c r="G26" s="119">
        <f t="shared" si="6"/>
        <v>0</v>
      </c>
      <c r="H26" s="119">
        <f>ROUND(H62,$Z26)</f>
        <v>0</v>
      </c>
      <c r="I26" s="119">
        <f t="shared" si="6"/>
        <v>0</v>
      </c>
      <c r="J26" s="119">
        <f t="shared" si="6"/>
        <v>0</v>
      </c>
      <c r="K26" s="119">
        <f t="shared" si="6"/>
        <v>30</v>
      </c>
      <c r="L26" s="119"/>
      <c r="M26" s="120"/>
      <c r="Z26" s="169">
        <v>2</v>
      </c>
      <c r="AA26">
        <v>2</v>
      </c>
    </row>
    <row r="27" spans="1:27">
      <c r="A27">
        <v>2</v>
      </c>
      <c r="B27" t="s">
        <v>35</v>
      </c>
      <c r="D27" s="121">
        <f>ROUND(D85,$Z27)</f>
        <v>11.702999999999999</v>
      </c>
      <c r="E27" s="121">
        <f t="shared" ref="D27:K29" si="7">ROUND(E85,$Z27)</f>
        <v>13.590999999999999</v>
      </c>
      <c r="F27" s="121">
        <f t="shared" ref="F27" si="8">ROUND(F85,$Z27)</f>
        <v>25.981000000000002</v>
      </c>
      <c r="G27" s="121">
        <f t="shared" si="7"/>
        <v>7.89</v>
      </c>
      <c r="H27" s="121">
        <f t="shared" ref="H27" si="9">ROUND(H85,$Z27)</f>
        <v>17.498000000000001</v>
      </c>
      <c r="I27" s="121">
        <f t="shared" si="7"/>
        <v>5.399</v>
      </c>
      <c r="J27" s="121">
        <f t="shared" ref="J27" si="10">ROUND(J85,$Z27)</f>
        <v>4.9930000000000003</v>
      </c>
      <c r="K27" s="121">
        <f t="shared" si="7"/>
        <v>13.505000000000001</v>
      </c>
      <c r="L27" s="121"/>
      <c r="M27" s="120"/>
      <c r="Q27" s="166">
        <v>800</v>
      </c>
      <c r="R27" s="166">
        <v>3650</v>
      </c>
      <c r="S27" s="166">
        <v>3650</v>
      </c>
      <c r="T27" s="166">
        <v>250000</v>
      </c>
      <c r="U27" s="166">
        <v>250000</v>
      </c>
      <c r="V27" s="166">
        <v>500000</v>
      </c>
      <c r="W27" s="166">
        <v>500000</v>
      </c>
      <c r="Z27" s="146">
        <v>3</v>
      </c>
      <c r="AA27">
        <v>3</v>
      </c>
    </row>
    <row r="28" spans="1:27">
      <c r="A28">
        <v>3</v>
      </c>
      <c r="B28" t="s">
        <v>36</v>
      </c>
      <c r="D28" s="121">
        <f t="shared" si="7"/>
        <v>13.750999999999999</v>
      </c>
      <c r="E28" s="121">
        <f>ROUND(E86,$Z28)</f>
        <v>9.8930000000000007</v>
      </c>
      <c r="F28" s="121">
        <f>ROUND(F86,$Z28)</f>
        <v>10.346</v>
      </c>
      <c r="G28" s="121">
        <f t="shared" si="7"/>
        <v>7.0309999999999997</v>
      </c>
      <c r="H28" s="121">
        <f t="shared" ref="H28" si="11">ROUND(H86,$Z28)</f>
        <v>7.07</v>
      </c>
      <c r="I28" s="121">
        <f t="shared" si="7"/>
        <v>4.8490000000000002</v>
      </c>
      <c r="J28" s="121">
        <f t="shared" ref="J28" si="12">ROUND(J86,$Z28)</f>
        <v>4.4870000000000001</v>
      </c>
      <c r="K28" s="121">
        <f t="shared" si="7"/>
        <v>9.452</v>
      </c>
      <c r="L28" s="121"/>
      <c r="M28" s="120"/>
      <c r="Q28" s="166">
        <v>1500</v>
      </c>
      <c r="R28" s="166">
        <v>9999999</v>
      </c>
      <c r="S28" s="166">
        <v>9999999</v>
      </c>
      <c r="T28" s="166">
        <v>9999999</v>
      </c>
      <c r="U28" s="166">
        <v>9999999</v>
      </c>
      <c r="V28" s="166">
        <v>6000000</v>
      </c>
      <c r="W28" s="166">
        <v>6000000</v>
      </c>
      <c r="Z28" s="146">
        <v>3</v>
      </c>
      <c r="AA28">
        <v>3</v>
      </c>
    </row>
    <row r="29" spans="1:27">
      <c r="A29">
        <v>4</v>
      </c>
      <c r="B29" t="s">
        <v>37</v>
      </c>
      <c r="D29" s="121">
        <f t="shared" si="7"/>
        <v>16.271999999999998</v>
      </c>
      <c r="E29" s="121">
        <f t="shared" si="7"/>
        <v>0</v>
      </c>
      <c r="F29" s="121">
        <f t="shared" ref="F29" si="13">ROUND(F87,$Z29)</f>
        <v>0</v>
      </c>
      <c r="G29" s="121">
        <f t="shared" si="7"/>
        <v>0</v>
      </c>
      <c r="H29" s="121">
        <f t="shared" ref="H29" si="14">ROUND(H87,$Z29)</f>
        <v>0</v>
      </c>
      <c r="I29" s="121">
        <f t="shared" si="7"/>
        <v>3.956</v>
      </c>
      <c r="J29" s="121">
        <f t="shared" ref="J29" si="15">ROUND(J87,$Z29)</f>
        <v>3.8279999999999998</v>
      </c>
      <c r="K29" s="121"/>
      <c r="L29" s="121"/>
      <c r="M29" s="120"/>
      <c r="O29" t="s">
        <v>208</v>
      </c>
      <c r="Q29" s="166">
        <v>9999999</v>
      </c>
      <c r="R29" s="166">
        <v>9999999</v>
      </c>
      <c r="S29" s="166">
        <v>9999999</v>
      </c>
      <c r="T29" s="166">
        <v>9999999</v>
      </c>
      <c r="U29" s="166">
        <v>9999999</v>
      </c>
      <c r="V29" s="166">
        <v>99999999</v>
      </c>
      <c r="W29" s="166">
        <v>99999999</v>
      </c>
      <c r="Z29" s="146">
        <v>3</v>
      </c>
      <c r="AA29">
        <v>3</v>
      </c>
    </row>
    <row r="30" spans="1:27">
      <c r="A30">
        <v>5</v>
      </c>
      <c r="B30" t="s">
        <v>38</v>
      </c>
      <c r="D30" s="121"/>
      <c r="E30" s="121"/>
      <c r="F30" s="121"/>
      <c r="G30" s="121"/>
      <c r="H30" s="121"/>
      <c r="I30" s="121"/>
      <c r="J30" s="121"/>
      <c r="K30" s="121"/>
      <c r="L30" s="121"/>
      <c r="M30" s="120"/>
      <c r="Z30" s="146">
        <v>3</v>
      </c>
      <c r="AA30">
        <v>3</v>
      </c>
    </row>
    <row r="31" spans="1:27">
      <c r="A31">
        <v>6</v>
      </c>
      <c r="B31" t="s">
        <v>248</v>
      </c>
      <c r="D31" s="119">
        <f t="shared" ref="D31:K31" si="16">ROUND(D66,$Z31)</f>
        <v>0</v>
      </c>
      <c r="E31" s="119">
        <f t="shared" si="16"/>
        <v>0</v>
      </c>
      <c r="F31" s="119">
        <f t="shared" si="16"/>
        <v>0</v>
      </c>
      <c r="G31" s="119">
        <f t="shared" si="16"/>
        <v>900</v>
      </c>
      <c r="H31" s="119">
        <f t="shared" si="16"/>
        <v>900</v>
      </c>
      <c r="I31" s="119">
        <f t="shared" si="16"/>
        <v>47890.63</v>
      </c>
      <c r="J31" s="119">
        <f t="shared" si="16"/>
        <v>30650</v>
      </c>
      <c r="K31" s="119">
        <f t="shared" si="16"/>
        <v>0</v>
      </c>
      <c r="L31" s="119"/>
      <c r="M31" s="120"/>
      <c r="Q31" s="166"/>
      <c r="R31" s="166"/>
      <c r="S31" s="166"/>
      <c r="T31" s="166"/>
      <c r="U31" s="166"/>
      <c r="V31" s="166"/>
      <c r="W31" s="166"/>
      <c r="Z31" s="146">
        <v>2</v>
      </c>
      <c r="AA31">
        <v>2</v>
      </c>
    </row>
    <row r="32" spans="1:27">
      <c r="A32">
        <v>7</v>
      </c>
      <c r="B32" t="s">
        <v>40</v>
      </c>
      <c r="D32" s="119">
        <f t="shared" ref="D32:K32" si="17">ROUND(D69,$Z32)</f>
        <v>0</v>
      </c>
      <c r="E32" s="119">
        <f t="shared" si="17"/>
        <v>10</v>
      </c>
      <c r="F32" s="119">
        <f t="shared" si="17"/>
        <v>0</v>
      </c>
      <c r="G32" s="119">
        <f t="shared" si="17"/>
        <v>10</v>
      </c>
      <c r="H32" s="119">
        <f t="shared" si="17"/>
        <v>0</v>
      </c>
      <c r="I32" s="119">
        <f t="shared" si="17"/>
        <v>12.98</v>
      </c>
      <c r="J32" s="119">
        <f t="shared" si="17"/>
        <v>10</v>
      </c>
      <c r="K32" s="119">
        <f t="shared" si="17"/>
        <v>0</v>
      </c>
      <c r="L32" s="119"/>
      <c r="M32" s="120"/>
      <c r="Q32" s="166">
        <v>0</v>
      </c>
      <c r="R32" s="166">
        <v>20</v>
      </c>
      <c r="S32" s="166">
        <v>20</v>
      </c>
      <c r="T32" s="166">
        <v>50</v>
      </c>
      <c r="U32" s="166">
        <v>50</v>
      </c>
      <c r="V32" s="166">
        <v>3000</v>
      </c>
      <c r="W32" s="166">
        <v>3000</v>
      </c>
      <c r="Z32" s="146">
        <v>2</v>
      </c>
      <c r="AA32">
        <v>2</v>
      </c>
    </row>
    <row r="33" spans="1:29">
      <c r="D33" s="120"/>
      <c r="E33" s="120"/>
      <c r="F33" s="120"/>
      <c r="G33" s="120"/>
      <c r="H33" s="120"/>
      <c r="I33" s="120"/>
      <c r="J33" s="120"/>
      <c r="K33" s="120"/>
      <c r="L33" s="120"/>
      <c r="M33" s="120"/>
    </row>
    <row r="34" spans="1:29">
      <c r="B34" s="108" t="s">
        <v>198</v>
      </c>
      <c r="C34" s="108"/>
      <c r="D34" t="str">
        <f>IF(D35&lt;&gt;'Pres &amp; Prop Rev'!D$5,#VALUE!,"")</f>
        <v/>
      </c>
      <c r="E34" t="str">
        <f>IF(E35&lt;&gt;'Pres &amp; Prop Rev'!E$5,#VALUE!,"")</f>
        <v/>
      </c>
      <c r="F34" s="554" t="str">
        <f>IF(F35&lt;&gt;'Pres &amp; Prop Rev'!F$5,#VALUE!,"")</f>
        <v/>
      </c>
      <c r="G34" t="str">
        <f>IF(G35&lt;&gt;'Pres &amp; Prop Rev'!G$5,#VALUE!,"")</f>
        <v/>
      </c>
      <c r="H34" s="554" t="str">
        <f>IF(H35&lt;&gt;'Pres &amp; Prop Rev'!H$5,#VALUE!,"")</f>
        <v/>
      </c>
      <c r="I34" t="str">
        <f>IF(I35&lt;&gt;'Pres &amp; Prop Rev'!I$5,#VALUE!,"")</f>
        <v/>
      </c>
      <c r="J34" s="554" t="str">
        <f>IF(J35&lt;&gt;'Pres &amp; Prop Rev'!J$5,#VALUE!,"")</f>
        <v/>
      </c>
      <c r="K34" t="str">
        <f>IF(K35&lt;&gt;'Pres &amp; Prop Rev'!K$5,#VALUE!,"")</f>
        <v/>
      </c>
    </row>
    <row r="35" spans="1:29">
      <c r="D35" s="206" t="s">
        <v>10</v>
      </c>
      <c r="E35" s="57" t="s">
        <v>11</v>
      </c>
      <c r="F35" s="443" t="s">
        <v>749</v>
      </c>
      <c r="G35" s="57" t="s">
        <v>12</v>
      </c>
      <c r="H35" s="443" t="s">
        <v>750</v>
      </c>
      <c r="I35" s="57" t="s">
        <v>13</v>
      </c>
      <c r="J35" s="443" t="s">
        <v>751</v>
      </c>
      <c r="K35" s="57" t="s">
        <v>14</v>
      </c>
      <c r="L35" s="57"/>
      <c r="Y35" s="108" t="s">
        <v>351</v>
      </c>
    </row>
    <row r="36" spans="1:29">
      <c r="A36">
        <v>1</v>
      </c>
      <c r="B36" t="s">
        <v>33</v>
      </c>
      <c r="D36" s="122">
        <f t="shared" ref="D36:K36" si="18">D26</f>
        <v>10</v>
      </c>
      <c r="E36" s="122">
        <f t="shared" si="18"/>
        <v>30</v>
      </c>
      <c r="F36" s="122">
        <f t="shared" si="18"/>
        <v>30</v>
      </c>
      <c r="G36" s="122">
        <f t="shared" si="18"/>
        <v>0</v>
      </c>
      <c r="H36" s="122">
        <f>H26</f>
        <v>0</v>
      </c>
      <c r="I36" s="122">
        <f t="shared" si="18"/>
        <v>0</v>
      </c>
      <c r="J36" s="122">
        <f t="shared" si="18"/>
        <v>0</v>
      </c>
      <c r="K36" s="122">
        <f t="shared" si="18"/>
        <v>30</v>
      </c>
      <c r="L36" s="122"/>
      <c r="M36" s="123"/>
      <c r="Y36" s="264">
        <v>1</v>
      </c>
      <c r="Z36" s="264">
        <v>11</v>
      </c>
      <c r="AA36" s="264">
        <v>21</v>
      </c>
      <c r="AB36" s="264">
        <v>25</v>
      </c>
      <c r="AC36" s="264">
        <v>31</v>
      </c>
    </row>
    <row r="37" spans="1:29">
      <c r="A37">
        <v>2</v>
      </c>
      <c r="B37" t="s">
        <v>35</v>
      </c>
      <c r="D37" s="124">
        <f>D27-0.386+0.002-0.079-0.509+0.114+0.498+0.334+0.305-0.004+0.654</f>
        <v>12.632</v>
      </c>
      <c r="E37" s="124">
        <f>E27+0.002+0.143+0.17+0.586+0.381+0.298-0.004+0.323</f>
        <v>15.490000000000002</v>
      </c>
      <c r="F37" s="124">
        <f>F27+0.002+0.143+0.17+0.586+0.381+0.298-0.004+0.323</f>
        <v>27.88</v>
      </c>
      <c r="G37" s="124">
        <f>G27+0.001+0.143+0.12+0.505+0.319+0.323-0.004+0.253</f>
        <v>9.5500000000000025</v>
      </c>
      <c r="H37" s="124">
        <f>H27+0.001+0.143+0.12+0.505+0.319+0.323-0.004+0.253</f>
        <v>19.158000000000001</v>
      </c>
      <c r="I37" s="124">
        <f>I27+0.001+0.053+0.316+0.236+0.296-0.004+0.092</f>
        <v>6.3890000000000002</v>
      </c>
      <c r="J37" s="124">
        <f>J27+0.001+0.018+0.239+0.236+0.296-0.004+0.059</f>
        <v>5.838000000000001</v>
      </c>
      <c r="K37" s="124">
        <f>K27+0.002+0.143-0.448+0.124+0.512+0.334+0.348-0.004+0.575</f>
        <v>15.091000000000003</v>
      </c>
      <c r="L37" s="124"/>
      <c r="M37" s="123"/>
      <c r="Q37" s="70">
        <f t="shared" ref="Q37:V39" si="19">Q27</f>
        <v>800</v>
      </c>
      <c r="R37" s="70">
        <f t="shared" si="19"/>
        <v>3650</v>
      </c>
      <c r="S37" s="70">
        <f t="shared" ref="S37" si="20">S27</f>
        <v>3650</v>
      </c>
      <c r="T37" s="70">
        <f t="shared" si="19"/>
        <v>250000</v>
      </c>
      <c r="U37" s="70">
        <f t="shared" ref="U37" si="21">U27</f>
        <v>250000</v>
      </c>
      <c r="V37" s="70">
        <f t="shared" si="19"/>
        <v>500000</v>
      </c>
      <c r="W37" s="70">
        <f t="shared" ref="W37" si="22">W27</f>
        <v>500000</v>
      </c>
      <c r="Y37" s="252">
        <v>0</v>
      </c>
      <c r="Z37" s="252">
        <v>0</v>
      </c>
      <c r="AA37" s="252">
        <v>0</v>
      </c>
      <c r="AB37" s="252">
        <v>0</v>
      </c>
      <c r="AC37" s="252">
        <v>0</v>
      </c>
    </row>
    <row r="38" spans="1:29">
      <c r="A38">
        <v>3</v>
      </c>
      <c r="B38" t="s">
        <v>36</v>
      </c>
      <c r="D38" s="124">
        <f t="shared" ref="D38:D39" si="23">D28-0.386+0.002-0.079-0.509+0.114+0.498+0.334+0.305-0.004+0.654</f>
        <v>14.68</v>
      </c>
      <c r="E38" s="124">
        <f>E28+0.002+0.143+0.17+0.586+0.381+0.298-0.004+0.323</f>
        <v>11.792000000000003</v>
      </c>
      <c r="F38" s="124">
        <f>F28+0.002+0.143+0.17+0.586+0.381+0.298-0.004+0.323</f>
        <v>12.245000000000003</v>
      </c>
      <c r="G38" s="124">
        <f>G28+0.001+0.143+0.12+0.505+0.319+0.323-0.004+0.253</f>
        <v>8.6910000000000007</v>
      </c>
      <c r="H38" s="124">
        <f>H28+0.001+0.143+0.12+0.505+0.319+0.323-0.004+0.253</f>
        <v>8.7300000000000022</v>
      </c>
      <c r="I38" s="124">
        <f t="shared" ref="I38" si="24">I28+0.001+0.053+0.316+0.236+0.296-0.004+0.092</f>
        <v>5.8390000000000004</v>
      </c>
      <c r="J38" s="124">
        <f t="shared" ref="J38" si="25">J28+0.001+0.018+0.239+0.236+0.296-0.004+0.059</f>
        <v>5.3320000000000007</v>
      </c>
      <c r="K38" s="124">
        <f>K28+0.002+0.143-0.448+0.124+0.512+0.334+0.348-0.004+0.575</f>
        <v>11.038000000000002</v>
      </c>
      <c r="L38" s="124"/>
      <c r="M38" s="123"/>
      <c r="Q38" s="70">
        <f t="shared" si="19"/>
        <v>1500</v>
      </c>
      <c r="R38" s="70">
        <f t="shared" si="19"/>
        <v>9999999</v>
      </c>
      <c r="S38" s="70">
        <f t="shared" ref="S38" si="26">S28</f>
        <v>9999999</v>
      </c>
      <c r="T38" s="70">
        <f t="shared" si="19"/>
        <v>9999999</v>
      </c>
      <c r="U38" s="70">
        <f t="shared" ref="U38" si="27">U28</f>
        <v>9999999</v>
      </c>
      <c r="V38" s="70">
        <f t="shared" si="19"/>
        <v>6000000</v>
      </c>
      <c r="W38" s="70">
        <f t="shared" ref="W38" si="28">W28</f>
        <v>6000000</v>
      </c>
      <c r="Y38" s="253">
        <f>Y$37</f>
        <v>0</v>
      </c>
      <c r="Z38" s="253">
        <f>Z$37</f>
        <v>0</v>
      </c>
      <c r="AA38" s="253">
        <f>AA$37</f>
        <v>0</v>
      </c>
      <c r="AB38" s="253">
        <f>AB$37</f>
        <v>0</v>
      </c>
      <c r="AC38" s="253">
        <f>AC$37</f>
        <v>0</v>
      </c>
    </row>
    <row r="39" spans="1:29">
      <c r="A39">
        <v>4</v>
      </c>
      <c r="B39" t="s">
        <v>37</v>
      </c>
      <c r="D39" s="124">
        <f t="shared" si="23"/>
        <v>17.200999999999997</v>
      </c>
      <c r="E39" s="124"/>
      <c r="F39" s="124"/>
      <c r="G39" s="124"/>
      <c r="H39" s="124"/>
      <c r="I39" s="124">
        <f>I29+0.001+0.053+0.316+0.296-0.004+0.092</f>
        <v>4.71</v>
      </c>
      <c r="J39" s="124">
        <f>J29+0.001+0.018+0.239+0.296-0.004+0.059</f>
        <v>4.4370000000000003</v>
      </c>
      <c r="K39" s="124"/>
      <c r="L39" s="124"/>
      <c r="M39" s="123"/>
      <c r="O39" t="s">
        <v>205</v>
      </c>
      <c r="Q39" s="70">
        <f t="shared" si="19"/>
        <v>9999999</v>
      </c>
      <c r="R39" s="70">
        <f t="shared" si="19"/>
        <v>9999999</v>
      </c>
      <c r="S39" s="70">
        <f t="shared" ref="S39" si="29">S29</f>
        <v>9999999</v>
      </c>
      <c r="T39" s="70">
        <f t="shared" si="19"/>
        <v>9999999</v>
      </c>
      <c r="U39" s="70">
        <f t="shared" ref="U39" si="30">U29</f>
        <v>9999999</v>
      </c>
      <c r="V39" s="70">
        <f t="shared" si="19"/>
        <v>99999999</v>
      </c>
      <c r="W39" s="70">
        <f t="shared" ref="W39" si="31">W29</f>
        <v>99999999</v>
      </c>
      <c r="Y39" s="253">
        <f t="shared" ref="Y39:AC40" si="32">Y$37</f>
        <v>0</v>
      </c>
      <c r="Z39" s="253">
        <f t="shared" si="32"/>
        <v>0</v>
      </c>
      <c r="AA39" s="253">
        <f t="shared" si="32"/>
        <v>0</v>
      </c>
      <c r="AB39" s="253">
        <f t="shared" si="32"/>
        <v>0</v>
      </c>
      <c r="AC39" s="253">
        <f t="shared" si="32"/>
        <v>0</v>
      </c>
    </row>
    <row r="40" spans="1:29">
      <c r="A40">
        <v>5</v>
      </c>
      <c r="B40" t="s">
        <v>38</v>
      </c>
      <c r="D40" s="124"/>
      <c r="E40" s="124"/>
      <c r="F40" s="124"/>
      <c r="G40" s="124"/>
      <c r="H40" s="124"/>
      <c r="I40" s="124"/>
      <c r="J40" s="124"/>
      <c r="K40" s="124"/>
      <c r="L40" s="124"/>
      <c r="M40" s="123"/>
      <c r="Y40" s="253">
        <f t="shared" si="32"/>
        <v>0</v>
      </c>
      <c r="Z40" s="253">
        <f t="shared" si="32"/>
        <v>0</v>
      </c>
      <c r="AA40" s="253">
        <f t="shared" si="32"/>
        <v>0</v>
      </c>
      <c r="AB40" s="253">
        <f t="shared" si="32"/>
        <v>0</v>
      </c>
      <c r="AC40" s="253">
        <f t="shared" si="32"/>
        <v>0</v>
      </c>
    </row>
    <row r="41" spans="1:29">
      <c r="A41">
        <v>6</v>
      </c>
      <c r="B41" t="s">
        <v>248</v>
      </c>
      <c r="D41" s="122"/>
      <c r="E41" s="122"/>
      <c r="F41" s="122"/>
      <c r="G41" s="122">
        <f t="shared" ref="G41:J42" si="33">G31</f>
        <v>900</v>
      </c>
      <c r="H41" s="122">
        <f t="shared" si="33"/>
        <v>900</v>
      </c>
      <c r="I41" s="122">
        <f t="shared" si="33"/>
        <v>47890.63</v>
      </c>
      <c r="J41" s="122">
        <f t="shared" si="33"/>
        <v>30650</v>
      </c>
      <c r="K41" s="122"/>
      <c r="L41" s="122"/>
      <c r="M41" s="123"/>
      <c r="Q41" s="70"/>
      <c r="R41" s="70"/>
      <c r="S41" s="70"/>
      <c r="T41" s="70"/>
      <c r="U41" s="70"/>
      <c r="V41" s="70"/>
      <c r="W41" s="70"/>
    </row>
    <row r="42" spans="1:29">
      <c r="A42">
        <v>7</v>
      </c>
      <c r="B42" t="s">
        <v>40</v>
      </c>
      <c r="D42" s="122"/>
      <c r="E42" s="122">
        <f>E32</f>
        <v>10</v>
      </c>
      <c r="F42" s="122">
        <f>F32</f>
        <v>0</v>
      </c>
      <c r="G42" s="122">
        <f t="shared" si="33"/>
        <v>10</v>
      </c>
      <c r="H42" s="122">
        <f t="shared" si="33"/>
        <v>0</v>
      </c>
      <c r="I42" s="122">
        <f t="shared" si="33"/>
        <v>12.98</v>
      </c>
      <c r="J42" s="122">
        <f t="shared" si="33"/>
        <v>10</v>
      </c>
      <c r="K42" s="122"/>
      <c r="L42" s="122"/>
      <c r="M42" s="123"/>
      <c r="Q42" s="70">
        <f t="shared" ref="Q42:W42" si="34">Q32</f>
        <v>0</v>
      </c>
      <c r="R42" s="70">
        <f t="shared" si="34"/>
        <v>20</v>
      </c>
      <c r="S42" s="70">
        <f t="shared" si="34"/>
        <v>20</v>
      </c>
      <c r="T42" s="70">
        <f t="shared" si="34"/>
        <v>50</v>
      </c>
      <c r="U42" s="70">
        <f t="shared" si="34"/>
        <v>50</v>
      </c>
      <c r="V42" s="70">
        <f t="shared" si="34"/>
        <v>3000</v>
      </c>
      <c r="W42" s="70">
        <f t="shared" si="34"/>
        <v>3000</v>
      </c>
    </row>
    <row r="43" spans="1:29">
      <c r="C43" s="261"/>
      <c r="D43" s="262"/>
      <c r="E43" s="262"/>
      <c r="F43" s="262"/>
      <c r="G43" s="262"/>
      <c r="H43" s="262"/>
      <c r="I43" s="262"/>
      <c r="J43" s="262"/>
      <c r="K43" s="262"/>
      <c r="L43" s="123"/>
      <c r="M43" s="123"/>
    </row>
    <row r="44" spans="1:29">
      <c r="C44" s="261"/>
      <c r="D44" s="277"/>
      <c r="E44" s="277"/>
      <c r="F44" s="277"/>
      <c r="G44" s="277"/>
      <c r="H44" s="277"/>
      <c r="I44" s="277"/>
      <c r="J44" s="277"/>
      <c r="K44" s="277"/>
    </row>
    <row r="45" spans="1:29">
      <c r="C45" s="261"/>
      <c r="D45" s="284">
        <v>0</v>
      </c>
      <c r="E45" s="285" t="s">
        <v>389</v>
      </c>
      <c r="F45" s="285"/>
      <c r="G45" s="285"/>
      <c r="H45" s="285"/>
      <c r="I45" s="277"/>
      <c r="J45" s="277"/>
      <c r="K45" s="277"/>
    </row>
    <row r="46" spans="1:29">
      <c r="D46" s="277"/>
      <c r="E46" s="277"/>
      <c r="F46" s="277"/>
      <c r="G46" s="277"/>
      <c r="H46" s="277"/>
      <c r="I46" s="277"/>
      <c r="J46" s="277"/>
      <c r="K46" s="277"/>
    </row>
    <row r="47" spans="1:29">
      <c r="A47" t="s">
        <v>1</v>
      </c>
      <c r="B47" s="108" t="s">
        <v>220</v>
      </c>
      <c r="C47" s="108"/>
    </row>
    <row r="49" spans="1:16">
      <c r="B49" t="s">
        <v>17</v>
      </c>
    </row>
    <row r="50" spans="1:16">
      <c r="B50" s="135" t="s">
        <v>18</v>
      </c>
      <c r="C50" s="67">
        <f>SUM(D50:K50)</f>
        <v>3546238286.4698129</v>
      </c>
      <c r="D50" s="67">
        <f>'Pres &amp; Prop Rev'!D31</f>
        <v>1718630296.2747939</v>
      </c>
      <c r="E50" s="67">
        <f>'Pres &amp; Prop Rev'!E31</f>
        <v>466372572.30339468</v>
      </c>
      <c r="F50" s="444">
        <f>'Pres &amp; Prop Rev'!F31</f>
        <v>92517.214073099996</v>
      </c>
      <c r="G50" s="67">
        <f>'Pres &amp; Prop Rev'!G31</f>
        <v>1181273588.82234</v>
      </c>
      <c r="H50" s="444">
        <f>'Pres &amp; Prop Rev'!H31</f>
        <v>109802.19577130998</v>
      </c>
      <c r="I50" s="67">
        <f>'Pres &amp; Prop Rev'!I31</f>
        <v>126000000</v>
      </c>
      <c r="J50" s="444">
        <f>'Pres &amp; Prop Rev'!J31</f>
        <v>6000000</v>
      </c>
      <c r="K50" s="67">
        <f>'Pres &amp; Prop Rev'!K31</f>
        <v>47759509.659440003</v>
      </c>
    </row>
    <row r="51" spans="1:16">
      <c r="B51" s="135" t="s">
        <v>19</v>
      </c>
      <c r="C51" s="67">
        <f>SUM(D51:K51)</f>
        <v>1606568238.7397215</v>
      </c>
      <c r="D51" s="67">
        <f>'Pres &amp; Prop Rev'!D32</f>
        <v>577659306.88565063</v>
      </c>
      <c r="E51" s="67">
        <f>'Pres &amp; Prop Rev'!E32</f>
        <v>234380452.38748533</v>
      </c>
      <c r="F51" s="444">
        <f>'Pres &amp; Prop Rev'!F32</f>
        <v>278100.15592689998</v>
      </c>
      <c r="G51" s="67">
        <f>'Pres &amp; Prop Rev'!G32</f>
        <v>144121754.80867997</v>
      </c>
      <c r="H51" s="444">
        <f>'Pres &amp; Prop Rev'!H32</f>
        <v>341841.23422868992</v>
      </c>
      <c r="I51" s="67">
        <f>'Pres &amp; Prop Rev'!I32</f>
        <v>484064827.46600002</v>
      </c>
      <c r="J51" s="444">
        <f>'Pres &amp; Prop Rev'!J32</f>
        <v>66000000</v>
      </c>
      <c r="K51" s="67">
        <f>'Pres &amp; Prop Rev'!K32</f>
        <v>99721955.801750004</v>
      </c>
    </row>
    <row r="52" spans="1:16">
      <c r="B52" s="135" t="s">
        <v>20</v>
      </c>
      <c r="C52" s="67">
        <f>SUM(D52:K52)</f>
        <v>749663530.03283548</v>
      </c>
      <c r="D52" s="67">
        <f>'Pres &amp; Prop Rev'!D33</f>
        <v>374095139.33183551</v>
      </c>
      <c r="E52" s="67">
        <f>'Pres &amp; Prop Rev'!E33</f>
        <v>0</v>
      </c>
      <c r="F52" s="444">
        <f>'Pres &amp; Prop Rev'!F33</f>
        <v>0</v>
      </c>
      <c r="G52" s="67">
        <f>'Pres &amp; Prop Rev'!G33</f>
        <v>0</v>
      </c>
      <c r="H52" s="444">
        <f>'Pres &amp; Prop Rev'!H33</f>
        <v>0</v>
      </c>
      <c r="I52" s="67">
        <f>'Pres &amp; Prop Rev'!I33</f>
        <v>17780158.700999975</v>
      </c>
      <c r="J52" s="444">
        <f>'Pres &amp; Prop Rev'!J33</f>
        <v>357788232</v>
      </c>
      <c r="K52" s="67">
        <f>'Pres &amp; Prop Rev'!K33</f>
        <v>0</v>
      </c>
    </row>
    <row r="53" spans="1:16">
      <c r="B53" s="135" t="s">
        <v>399</v>
      </c>
      <c r="C53" s="67">
        <f>SUM(D53:K53)</f>
        <v>0</v>
      </c>
      <c r="D53" s="67">
        <f>'Pres &amp; Prop Rev'!D41+'Pres &amp; Prop Rev'!D38</f>
        <v>0</v>
      </c>
      <c r="E53" s="67">
        <f>'Pres &amp; Prop Rev'!E41+'Pres &amp; Prop Rev'!E38</f>
        <v>0</v>
      </c>
      <c r="F53" s="444">
        <f>'Pres &amp; Prop Rev'!F41+'Pres &amp; Prop Rev'!F38</f>
        <v>0</v>
      </c>
      <c r="G53" s="67">
        <f>'Pres &amp; Prop Rev'!G41+'Pres &amp; Prop Rev'!G38</f>
        <v>0</v>
      </c>
      <c r="H53" s="444">
        <f>'Pres &amp; Prop Rev'!H41+'Pres &amp; Prop Rev'!H38</f>
        <v>0</v>
      </c>
      <c r="I53" s="67">
        <f>'Pres &amp; Prop Rev'!I41+'Pres &amp; Prop Rev'!I38</f>
        <v>0</v>
      </c>
      <c r="J53" s="444">
        <f>'Pres &amp; Prop Rev'!J41+'Pres &amp; Prop Rev'!J38</f>
        <v>0</v>
      </c>
      <c r="K53" s="67">
        <f>'Pres &amp; Prop Rev'!K41+'Pres &amp; Prop Rev'!K38</f>
        <v>0</v>
      </c>
    </row>
    <row r="54" spans="1:16">
      <c r="B54" s="135" t="s">
        <v>212</v>
      </c>
      <c r="C54" s="67">
        <f>SUM(D54:K54)</f>
        <v>-154699972</v>
      </c>
      <c r="D54" s="67">
        <f>'Pres &amp; Prop Rev'!D44</f>
        <v>-83426247</v>
      </c>
      <c r="E54" s="67">
        <f>'Pres &amp; Prop Rev'!E44</f>
        <v>-23053465</v>
      </c>
      <c r="F54" s="444">
        <f>'Pres &amp; Prop Rev'!F44</f>
        <v>0</v>
      </c>
      <c r="G54" s="67">
        <f>'Pres &amp; Prop Rev'!G44</f>
        <v>-41470151</v>
      </c>
      <c r="H54" s="444">
        <f>'Pres &amp; Prop Rev'!H44</f>
        <v>0</v>
      </c>
      <c r="I54" s="67">
        <f>'Pres &amp; Prop Rev'!I44</f>
        <v>0</v>
      </c>
      <c r="J54" s="444">
        <f>'Pres &amp; Prop Rev'!J44</f>
        <v>0</v>
      </c>
      <c r="K54" s="67">
        <f>'Pres &amp; Prop Rev'!K44</f>
        <v>-6750109</v>
      </c>
    </row>
    <row r="55" spans="1:16">
      <c r="B55" t="s">
        <v>27</v>
      </c>
      <c r="C55" s="73">
        <f>IF(ROUND(SUM(D55:L55),3)&lt;&gt;ROUND(SUM(C50:C54),3),#VALUE!,SUM(D55:L55))</f>
        <v>5747770083.2423697</v>
      </c>
      <c r="D55" s="73">
        <f t="shared" ref="D55:K55" si="35">SUM(D50:D54)</f>
        <v>2586958495.49228</v>
      </c>
      <c r="E55" s="73">
        <f t="shared" si="35"/>
        <v>677699559.69088006</v>
      </c>
      <c r="F55" s="73">
        <f t="shared" si="35"/>
        <v>370617.37</v>
      </c>
      <c r="G55" s="73">
        <f t="shared" si="35"/>
        <v>1283925192.6310201</v>
      </c>
      <c r="H55" s="73">
        <f t="shared" si="35"/>
        <v>451643.42999999993</v>
      </c>
      <c r="I55" s="73">
        <f t="shared" si="35"/>
        <v>627844986.16700006</v>
      </c>
      <c r="J55" s="73">
        <f t="shared" si="35"/>
        <v>429788232</v>
      </c>
      <c r="K55" s="73">
        <f t="shared" si="35"/>
        <v>140731356.46119002</v>
      </c>
    </row>
    <row r="56" spans="1:16">
      <c r="B56" t="s">
        <v>28</v>
      </c>
      <c r="C56" s="67"/>
      <c r="D56" s="67">
        <f>'Pres &amp; Prop Rev'!D48</f>
        <v>2738172</v>
      </c>
      <c r="E56" s="67">
        <f>'Pres &amp; Prop Rev'!E48</f>
        <v>416737</v>
      </c>
      <c r="F56" s="444">
        <f>'Pres &amp; Prop Rev'!F48</f>
        <v>152</v>
      </c>
      <c r="G56" s="67">
        <f>'Pres &amp; Prop Rev'!G48</f>
        <v>20410</v>
      </c>
      <c r="H56" s="444">
        <f>'Pres &amp; Prop Rev'!H48</f>
        <v>37</v>
      </c>
      <c r="I56" s="67">
        <f>'Pres &amp; Prop Rev'!I48</f>
        <v>252</v>
      </c>
      <c r="J56" s="444">
        <f>'Pres &amp; Prop Rev'!J48</f>
        <v>12</v>
      </c>
      <c r="K56" s="67">
        <f>'Pres &amp; Prop Rev'!K48</f>
        <v>30627</v>
      </c>
    </row>
    <row r="57" spans="1:16">
      <c r="B57" t="s">
        <v>30</v>
      </c>
      <c r="C57" s="67"/>
      <c r="D57" s="67">
        <f>'Pres &amp; Prop Rev'!D50</f>
        <v>0</v>
      </c>
      <c r="E57" s="67">
        <f>'Pres &amp; Prop Rev'!E50</f>
        <v>566912.83238095231</v>
      </c>
      <c r="F57" s="444">
        <f>'Pres &amp; Prop Rev'!F50</f>
        <v>0</v>
      </c>
      <c r="G57" s="67">
        <f>'Pres &amp; Prop Rev'!G50</f>
        <v>2600000.3744761907</v>
      </c>
      <c r="H57" s="444">
        <f>'Pres &amp; Prop Rev'!H50</f>
        <v>0</v>
      </c>
      <c r="I57" s="67">
        <f>'Pres &amp; Prop Rev'!I50</f>
        <v>600031.76899999997</v>
      </c>
      <c r="J57" s="444">
        <f>'Pres &amp; Prop Rev'!J50</f>
        <v>709647.84</v>
      </c>
      <c r="K57" s="67">
        <f>'Pres &amp; Prop Rev'!K50</f>
        <v>0</v>
      </c>
    </row>
    <row r="58" spans="1:16">
      <c r="M58" t="s">
        <v>253</v>
      </c>
      <c r="N58" s="157" t="s">
        <v>232</v>
      </c>
      <c r="O58" s="157"/>
      <c r="P58" s="157"/>
    </row>
    <row r="59" spans="1:16">
      <c r="A59" s="254"/>
      <c r="B59" s="108" t="s">
        <v>209</v>
      </c>
      <c r="C59" s="200">
        <f ca="1">SUM(D59:L59)</f>
        <v>693903998.25361037</v>
      </c>
      <c r="D59" s="200">
        <f ca="1">'Rate Spread GRC'!H15*1000</f>
        <v>356924089.16681427</v>
      </c>
      <c r="E59" s="200">
        <f ca="1">'Rate Spread GRC'!H17*1000</f>
        <v>102299463.55186714</v>
      </c>
      <c r="F59" s="200">
        <f ca="1">'Rate Spread GRC'!H19*1000</f>
        <v>57368.946002745171</v>
      </c>
      <c r="G59" s="200">
        <f ca="1">'Rate Spread GRC'!H21*1000</f>
        <v>144766198.54277712</v>
      </c>
      <c r="H59" s="200">
        <f ca="1">'Rate Spread GRC'!H23*1000</f>
        <v>76682.387421867839</v>
      </c>
      <c r="I59" s="200">
        <f ca="1">'Rate Spread GRC'!H25*1000</f>
        <v>50601488.614423878</v>
      </c>
      <c r="J59" s="200">
        <f ca="1">'Rate Spread GRC'!H27*1000</f>
        <v>23021777.755241483</v>
      </c>
      <c r="K59" s="200">
        <f ca="1">'Rate Spread GRC'!H29*1000</f>
        <v>16156929.289061854</v>
      </c>
      <c r="M59" s="176" t="s">
        <v>251</v>
      </c>
      <c r="N59" s="57" t="s">
        <v>233</v>
      </c>
      <c r="O59" s="57" t="s">
        <v>234</v>
      </c>
      <c r="P59" s="57" t="s">
        <v>235</v>
      </c>
    </row>
    <row r="60" spans="1:16">
      <c r="B60" s="108" t="s">
        <v>317</v>
      </c>
      <c r="C60" s="173">
        <f ca="1">'Rate Spread GRC'!F33</f>
        <v>0.10934309521779007</v>
      </c>
      <c r="D60" s="173">
        <f ca="1">'Rate Spread GRC'!F15</f>
        <v>0.15440572049444279</v>
      </c>
      <c r="E60" s="173">
        <f ca="1">'Rate Spread GRC'!F17</f>
        <v>8.2007321413342549E-2</v>
      </c>
      <c r="F60" s="173">
        <f ca="1">'Rate Spread GRC'!F19</f>
        <v>0.10934309521779007</v>
      </c>
      <c r="G60" s="173">
        <f ca="1">'Rate Spread GRC'!F21</f>
        <v>5.4671547608895033E-2</v>
      </c>
      <c r="H60" s="173">
        <f ca="1">'Rate Spread GRC'!F23</f>
        <v>0.10934309521779007</v>
      </c>
      <c r="I60" s="173">
        <f ca="1">'Rate Spread GRC'!F25</f>
        <v>5.4671547608895033E-2</v>
      </c>
      <c r="J60" s="173">
        <f ca="1">'Rate Spread GRC'!F27</f>
        <v>5.3481386947921733E-2</v>
      </c>
      <c r="K60" s="173">
        <f ca="1">'Rate Spread GRC'!F31</f>
        <v>0.10934309521779007</v>
      </c>
      <c r="M60" s="177" t="s">
        <v>252</v>
      </c>
    </row>
    <row r="61" spans="1:16">
      <c r="B61" s="137" t="s">
        <v>216</v>
      </c>
      <c r="C61" s="160"/>
      <c r="D61" s="138">
        <f t="shared" ref="D61:J61" si="36">D4</f>
        <v>10</v>
      </c>
      <c r="E61" s="138">
        <f t="shared" si="36"/>
        <v>25</v>
      </c>
      <c r="F61" s="138">
        <f t="shared" si="36"/>
        <v>25</v>
      </c>
      <c r="G61" s="138">
        <f t="shared" si="36"/>
        <v>0</v>
      </c>
      <c r="H61" s="138">
        <f t="shared" si="36"/>
        <v>0</v>
      </c>
      <c r="I61" s="138">
        <f t="shared" si="36"/>
        <v>0</v>
      </c>
      <c r="J61" s="138">
        <f t="shared" si="36"/>
        <v>0</v>
      </c>
      <c r="K61" s="138">
        <f>K4</f>
        <v>25</v>
      </c>
      <c r="L61" s="139"/>
    </row>
    <row r="62" spans="1:16">
      <c r="B62" s="152" t="s">
        <v>33</v>
      </c>
      <c r="C62" s="150"/>
      <c r="D62" s="175">
        <v>10</v>
      </c>
      <c r="E62" s="175">
        <v>30</v>
      </c>
      <c r="F62" s="175">
        <v>30</v>
      </c>
      <c r="G62" s="175">
        <v>0</v>
      </c>
      <c r="H62" s="175">
        <v>0</v>
      </c>
      <c r="I62" s="175">
        <v>0</v>
      </c>
      <c r="J62" s="175">
        <v>0</v>
      </c>
      <c r="K62" s="175">
        <v>30</v>
      </c>
      <c r="L62" s="153"/>
      <c r="N62">
        <f>FLOOR(N61*(1+N$60),$N63)</f>
        <v>0</v>
      </c>
      <c r="O62">
        <f>CEILING(O61*(1+O$60),$O63)</f>
        <v>0</v>
      </c>
      <c r="P62">
        <f>P61*(1+P$60)</f>
        <v>0</v>
      </c>
    </row>
    <row r="63" spans="1:16">
      <c r="B63" s="154" t="s">
        <v>229</v>
      </c>
      <c r="C63" s="161"/>
      <c r="D63" s="155">
        <f t="shared" ref="D63:K63" si="37">IF(D61,D62/D61-1,0)</f>
        <v>0</v>
      </c>
      <c r="E63" s="155">
        <f t="shared" si="37"/>
        <v>0.19999999999999996</v>
      </c>
      <c r="F63" s="155">
        <f t="shared" si="37"/>
        <v>0.19999999999999996</v>
      </c>
      <c r="G63" s="155">
        <f t="shared" si="37"/>
        <v>0</v>
      </c>
      <c r="H63" s="155">
        <f t="shared" si="37"/>
        <v>0</v>
      </c>
      <c r="I63" s="155">
        <f t="shared" si="37"/>
        <v>0</v>
      </c>
      <c r="J63" s="155">
        <f t="shared" si="37"/>
        <v>0</v>
      </c>
      <c r="K63" s="155">
        <f t="shared" si="37"/>
        <v>0.19999999999999996</v>
      </c>
      <c r="L63" s="141"/>
      <c r="N63" s="156">
        <v>0.05</v>
      </c>
      <c r="O63" s="156">
        <v>0.05</v>
      </c>
    </row>
    <row r="64" spans="1:16">
      <c r="B64" s="135" t="s">
        <v>213</v>
      </c>
      <c r="C64" s="68">
        <f>SUM(D64:L64)</f>
        <v>40807200</v>
      </c>
      <c r="D64" s="68">
        <f t="shared" ref="D64:K64" si="38">D56*D62</f>
        <v>27381720</v>
      </c>
      <c r="E64" s="68">
        <f t="shared" si="38"/>
        <v>12502110</v>
      </c>
      <c r="F64" s="68">
        <f t="shared" si="38"/>
        <v>4560</v>
      </c>
      <c r="G64" s="68">
        <f t="shared" si="38"/>
        <v>0</v>
      </c>
      <c r="H64" s="68">
        <f t="shared" si="38"/>
        <v>0</v>
      </c>
      <c r="I64" s="68">
        <f t="shared" si="38"/>
        <v>0</v>
      </c>
      <c r="J64" s="68">
        <f t="shared" si="38"/>
        <v>0</v>
      </c>
      <c r="K64" s="68">
        <f t="shared" si="38"/>
        <v>918810</v>
      </c>
      <c r="L64" s="68"/>
    </row>
    <row r="65" spans="2:16">
      <c r="B65" s="142" t="s">
        <v>217</v>
      </c>
      <c r="C65" s="162"/>
      <c r="D65" s="138">
        <f t="shared" ref="D65:K65" si="39">D9</f>
        <v>0</v>
      </c>
      <c r="E65" s="138">
        <f t="shared" si="39"/>
        <v>0</v>
      </c>
      <c r="F65" s="138">
        <f t="shared" si="39"/>
        <v>0</v>
      </c>
      <c r="G65" s="138">
        <f t="shared" si="39"/>
        <v>750</v>
      </c>
      <c r="H65" s="138">
        <f t="shared" si="39"/>
        <v>750</v>
      </c>
      <c r="I65" s="138">
        <f t="shared" si="39"/>
        <v>38300</v>
      </c>
      <c r="J65" s="138">
        <f t="shared" si="39"/>
        <v>30650</v>
      </c>
      <c r="K65" s="138">
        <f t="shared" si="39"/>
        <v>0</v>
      </c>
      <c r="L65" s="143"/>
      <c r="M65" s="283"/>
    </row>
    <row r="66" spans="2:16">
      <c r="B66" s="152" t="s">
        <v>40</v>
      </c>
      <c r="C66" s="150"/>
      <c r="D66" s="151"/>
      <c r="E66" s="151"/>
      <c r="F66" s="151"/>
      <c r="G66" s="175">
        <v>900</v>
      </c>
      <c r="H66" s="175">
        <v>900</v>
      </c>
      <c r="I66" s="175">
        <v>47890.625</v>
      </c>
      <c r="J66" s="175">
        <v>30650</v>
      </c>
      <c r="K66" s="151"/>
      <c r="L66" s="153"/>
      <c r="N66">
        <f>FLOOR(N65*(1+N$60),$N67)</f>
        <v>0</v>
      </c>
      <c r="O66">
        <f>CEILING(O65*(1+O$60),$O67)</f>
        <v>0</v>
      </c>
      <c r="P66">
        <f>P65*(1+P$60)</f>
        <v>0</v>
      </c>
    </row>
    <row r="67" spans="2:16">
      <c r="B67" s="154" t="s">
        <v>230</v>
      </c>
      <c r="C67" s="161"/>
      <c r="D67" s="155">
        <f t="shared" ref="D67:K67" si="40">IF(D65,D66/D65-1,0)</f>
        <v>0</v>
      </c>
      <c r="E67" s="155">
        <f t="shared" si="40"/>
        <v>0</v>
      </c>
      <c r="F67" s="155">
        <f t="shared" si="40"/>
        <v>0</v>
      </c>
      <c r="G67" s="155">
        <f t="shared" si="40"/>
        <v>0.19999999999999996</v>
      </c>
      <c r="H67" s="155">
        <f t="shared" si="40"/>
        <v>0.19999999999999996</v>
      </c>
      <c r="I67" s="155">
        <f t="shared" si="40"/>
        <v>0.25040796344647509</v>
      </c>
      <c r="J67" s="155">
        <f t="shared" si="40"/>
        <v>0</v>
      </c>
      <c r="K67" s="155">
        <f t="shared" si="40"/>
        <v>0</v>
      </c>
      <c r="L67" s="141"/>
      <c r="N67" s="156">
        <v>5</v>
      </c>
      <c r="O67" s="156">
        <v>10</v>
      </c>
    </row>
    <row r="68" spans="2:16">
      <c r="B68" s="142" t="s">
        <v>218</v>
      </c>
      <c r="C68" s="162"/>
      <c r="D68" s="138">
        <f>D10</f>
        <v>0</v>
      </c>
      <c r="E68" s="138">
        <f>E10</f>
        <v>9</v>
      </c>
      <c r="F68" s="138">
        <v>0</v>
      </c>
      <c r="G68" s="138">
        <f>G10</f>
        <v>9</v>
      </c>
      <c r="H68" s="138">
        <v>0</v>
      </c>
      <c r="I68" s="138">
        <f>I10</f>
        <v>10.35</v>
      </c>
      <c r="J68" s="138">
        <f>J10</f>
        <v>9</v>
      </c>
      <c r="K68" s="138">
        <f>K10</f>
        <v>0</v>
      </c>
      <c r="L68" s="139"/>
    </row>
    <row r="69" spans="2:16">
      <c r="B69" s="152" t="s">
        <v>41</v>
      </c>
      <c r="C69" s="150"/>
      <c r="D69" s="151"/>
      <c r="E69" s="175">
        <v>10</v>
      </c>
      <c r="F69" s="151"/>
      <c r="G69" s="175">
        <v>10</v>
      </c>
      <c r="H69" s="151"/>
      <c r="I69" s="175">
        <v>12.974999999999998</v>
      </c>
      <c r="J69" s="175">
        <v>10</v>
      </c>
      <c r="K69" s="175"/>
      <c r="L69" s="153"/>
      <c r="N69">
        <f>FLOOR(N68*(1+N$60),$N70)</f>
        <v>0</v>
      </c>
      <c r="O69">
        <f>CEILING(O68*(1+O$60),$O70)</f>
        <v>0</v>
      </c>
      <c r="P69">
        <f>P68*(1+P$60)</f>
        <v>0</v>
      </c>
    </row>
    <row r="70" spans="2:16">
      <c r="B70" s="154" t="s">
        <v>231</v>
      </c>
      <c r="C70" s="161"/>
      <c r="D70" s="155">
        <f t="shared" ref="D70:K70" si="41">IF(D68,D69/D68-1,0)</f>
        <v>0</v>
      </c>
      <c r="E70" s="155">
        <f t="shared" si="41"/>
        <v>0.11111111111111116</v>
      </c>
      <c r="F70" s="155">
        <f t="shared" si="41"/>
        <v>0</v>
      </c>
      <c r="G70" s="155">
        <f t="shared" si="41"/>
        <v>0.11111111111111116</v>
      </c>
      <c r="H70" s="155">
        <f t="shared" si="41"/>
        <v>0</v>
      </c>
      <c r="I70" s="155">
        <f t="shared" si="41"/>
        <v>0.2536231884057969</v>
      </c>
      <c r="J70" s="155">
        <f t="shared" si="41"/>
        <v>0.11111111111111116</v>
      </c>
      <c r="K70" s="155">
        <f t="shared" si="41"/>
        <v>0</v>
      </c>
      <c r="L70" s="141"/>
      <c r="N70" s="156">
        <v>0.05</v>
      </c>
      <c r="O70" s="156">
        <v>0.05</v>
      </c>
    </row>
    <row r="71" spans="2:16">
      <c r="B71" s="135" t="s">
        <v>215</v>
      </c>
      <c r="C71" s="68">
        <f>SUM(D71:L71)</f>
        <v>77389560.171346441</v>
      </c>
      <c r="D71" s="68">
        <f t="shared" ref="D71:K71" si="42">D56*D66+D57*D69</f>
        <v>0</v>
      </c>
      <c r="E71" s="68">
        <f t="shared" si="42"/>
        <v>5669128.3238095231</v>
      </c>
      <c r="F71" s="68">
        <f t="shared" si="42"/>
        <v>0</v>
      </c>
      <c r="G71" s="68">
        <f t="shared" si="42"/>
        <v>44369003.744761907</v>
      </c>
      <c r="H71" s="68">
        <f t="shared" si="42"/>
        <v>33300</v>
      </c>
      <c r="I71" s="68">
        <f t="shared" si="42"/>
        <v>19853849.702774998</v>
      </c>
      <c r="J71" s="68">
        <f t="shared" si="42"/>
        <v>7464278.3999999994</v>
      </c>
      <c r="K71" s="68">
        <f t="shared" si="42"/>
        <v>0</v>
      </c>
      <c r="L71" s="68"/>
    </row>
    <row r="72" spans="2:16">
      <c r="B72" s="135" t="s">
        <v>219</v>
      </c>
      <c r="C72" s="68">
        <f>SUM(D72:L72)</f>
        <v>-1532746.0326</v>
      </c>
      <c r="D72" s="68">
        <f>'Pres &amp; Prop Rev'!D172+'Pres &amp; Prop Rev'!D173</f>
        <v>0</v>
      </c>
      <c r="E72" s="68">
        <f>'Pres &amp; Prop Rev'!E172+'Pres &amp; Prop Rev'!E173</f>
        <v>0</v>
      </c>
      <c r="F72" s="68">
        <f>'Pres &amp; Prop Rev'!F172+'Pres &amp; Prop Rev'!F173</f>
        <v>0</v>
      </c>
      <c r="G72" s="68">
        <f>'Pres &amp; Prop Rev'!G172+'Pres &amp; Prop Rev'!G173</f>
        <v>95987.739999999962</v>
      </c>
      <c r="H72" s="68">
        <f>'Pres &amp; Prop Rev'!H172+'Pres &amp; Prop Rev'!H173</f>
        <v>0</v>
      </c>
      <c r="I72" s="68">
        <f>'Pres &amp; Prop Rev'!I172+'Pres &amp; Prop Rev'!I173</f>
        <v>-230075.97100000002</v>
      </c>
      <c r="J72" s="68">
        <f>'Pres &amp; Prop Rev'!J172+'Pres &amp; Prop Rev'!J173</f>
        <v>-1398657.8015999999</v>
      </c>
      <c r="K72" s="68">
        <f>'Pres &amp; Prop Rev'!K172+'Pres &amp; Prop Rev'!K173</f>
        <v>0</v>
      </c>
      <c r="L72" s="68"/>
    </row>
    <row r="73" spans="2:16">
      <c r="B73" s="135"/>
      <c r="C73" s="135"/>
      <c r="D73" s="136"/>
      <c r="E73" s="136"/>
      <c r="F73" s="136"/>
      <c r="G73" s="136"/>
      <c r="H73" s="136"/>
      <c r="I73" s="136"/>
      <c r="J73" s="136"/>
      <c r="L73" s="136"/>
    </row>
    <row r="74" spans="2:16">
      <c r="B74" s="144" t="s">
        <v>312</v>
      </c>
      <c r="C74" s="144"/>
      <c r="D74" s="145">
        <f t="shared" ref="D74:K76" si="43">D5</f>
        <v>10.007999999999999</v>
      </c>
      <c r="E74" s="145">
        <f t="shared" si="43"/>
        <v>12.766999999999999</v>
      </c>
      <c r="F74" s="145">
        <f t="shared" si="43"/>
        <v>23.573</v>
      </c>
      <c r="G74" s="145">
        <f t="shared" si="43"/>
        <v>7.7450000000000001</v>
      </c>
      <c r="H74" s="145">
        <f t="shared" si="43"/>
        <v>16.687999999999999</v>
      </c>
      <c r="I74" s="145">
        <f t="shared" si="43"/>
        <v>5.6379999999999999</v>
      </c>
      <c r="J74" s="145">
        <f t="shared" si="43"/>
        <v>4.8579999999999997</v>
      </c>
      <c r="K74" s="145">
        <f t="shared" si="43"/>
        <v>12.228999999999999</v>
      </c>
      <c r="L74" s="145"/>
    </row>
    <row r="75" spans="2:16">
      <c r="B75" s="144" t="s">
        <v>313</v>
      </c>
      <c r="C75" s="144"/>
      <c r="D75" s="145">
        <f t="shared" si="43"/>
        <v>11.759</v>
      </c>
      <c r="E75" s="145">
        <f t="shared" si="43"/>
        <v>9.2929999999999993</v>
      </c>
      <c r="F75" s="145">
        <f t="shared" si="43"/>
        <v>9.3870000000000005</v>
      </c>
      <c r="G75" s="145">
        <f t="shared" si="43"/>
        <v>6.9020000000000001</v>
      </c>
      <c r="H75" s="145">
        <f t="shared" si="43"/>
        <v>6.7430000000000003</v>
      </c>
      <c r="I75" s="145">
        <f t="shared" si="43"/>
        <v>5.0629999999999997</v>
      </c>
      <c r="J75" s="145">
        <f t="shared" si="43"/>
        <v>4.3659999999999997</v>
      </c>
      <c r="K75" s="145">
        <f t="shared" si="43"/>
        <v>8.5579999999999998</v>
      </c>
      <c r="L75" s="145"/>
    </row>
    <row r="76" spans="2:16">
      <c r="B76" s="144" t="s">
        <v>314</v>
      </c>
      <c r="C76" s="144"/>
      <c r="D76" s="145">
        <f t="shared" si="43"/>
        <v>13.914</v>
      </c>
      <c r="E76" s="145">
        <f t="shared" si="43"/>
        <v>0</v>
      </c>
      <c r="F76" s="145">
        <f t="shared" si="43"/>
        <v>0</v>
      </c>
      <c r="G76" s="145">
        <f t="shared" si="43"/>
        <v>0</v>
      </c>
      <c r="H76" s="145">
        <f t="shared" si="43"/>
        <v>0</v>
      </c>
      <c r="I76" s="145">
        <f t="shared" si="43"/>
        <v>4.1310000000000002</v>
      </c>
      <c r="J76" s="145">
        <f t="shared" si="43"/>
        <v>3.7240000000000002</v>
      </c>
      <c r="K76" s="145">
        <f t="shared" si="43"/>
        <v>0</v>
      </c>
      <c r="L76" s="145"/>
    </row>
    <row r="77" spans="2:16">
      <c r="B77" s="144"/>
      <c r="C77" s="144"/>
      <c r="D77" s="145"/>
      <c r="E77" s="145"/>
      <c r="F77" s="145"/>
      <c r="G77" s="145"/>
      <c r="H77" s="145"/>
      <c r="I77" s="145"/>
      <c r="J77" s="145"/>
      <c r="K77" s="145"/>
      <c r="L77" s="145"/>
      <c r="N77" s="34"/>
    </row>
    <row r="78" spans="2:16">
      <c r="B78" s="144" t="s">
        <v>225</v>
      </c>
      <c r="C78" s="144"/>
      <c r="D78" s="147">
        <v>1</v>
      </c>
      <c r="E78" s="147">
        <v>1</v>
      </c>
      <c r="F78" s="147">
        <v>1</v>
      </c>
      <c r="G78" s="147">
        <v>1</v>
      </c>
      <c r="H78" s="147">
        <v>1</v>
      </c>
      <c r="I78" s="147">
        <v>1</v>
      </c>
      <c r="J78" s="147">
        <v>1</v>
      </c>
      <c r="K78" s="147">
        <v>1</v>
      </c>
      <c r="L78" s="145"/>
    </row>
    <row r="79" spans="2:16">
      <c r="B79" s="144" t="s">
        <v>224</v>
      </c>
      <c r="C79" s="144"/>
      <c r="D79" s="148">
        <v>0.16939643504741869</v>
      </c>
      <c r="E79" s="148">
        <v>6.4572133421801195E-2</v>
      </c>
      <c r="F79" s="148">
        <v>0.10215315564594685</v>
      </c>
      <c r="G79" s="148">
        <v>1.8716283097124212E-2</v>
      </c>
      <c r="H79" s="148">
        <v>4.8538587917173588E-2</v>
      </c>
      <c r="I79" s="148">
        <v>-4.2318713871710753E-2</v>
      </c>
      <c r="J79" s="148">
        <v>2.7828171459323685E-2</v>
      </c>
      <c r="K79" s="148">
        <v>0.10431402585258231</v>
      </c>
      <c r="L79" s="145"/>
      <c r="P79">
        <f>P$60</f>
        <v>0</v>
      </c>
    </row>
    <row r="80" spans="2:16">
      <c r="B80" s="144" t="s">
        <v>226</v>
      </c>
      <c r="C80" s="144"/>
      <c r="D80" s="158">
        <v>2</v>
      </c>
      <c r="E80" s="158">
        <v>2</v>
      </c>
      <c r="F80" s="158">
        <v>2</v>
      </c>
      <c r="G80" s="158">
        <v>2</v>
      </c>
      <c r="H80" s="158">
        <v>2</v>
      </c>
      <c r="I80" s="158">
        <v>2</v>
      </c>
      <c r="J80" s="158">
        <v>2</v>
      </c>
      <c r="K80" s="158">
        <v>2</v>
      </c>
      <c r="L80" s="146"/>
    </row>
    <row r="81" spans="1:17">
      <c r="B81" s="144"/>
      <c r="C81" s="144"/>
      <c r="D81" s="145"/>
      <c r="E81" s="145"/>
      <c r="F81" s="145"/>
      <c r="G81" s="145"/>
      <c r="H81" s="145"/>
      <c r="I81" s="145"/>
      <c r="J81" s="145"/>
      <c r="K81" s="145"/>
      <c r="L81" s="145"/>
    </row>
    <row r="82" spans="1:17">
      <c r="A82" t="s">
        <v>227</v>
      </c>
      <c r="B82" t="s">
        <v>35</v>
      </c>
      <c r="D82" s="145">
        <f>CHOOSE(D$80,D74+D$78,D74*(1+D$79))</f>
        <v>11.703319521954565</v>
      </c>
      <c r="E82" s="145">
        <f t="shared" ref="E82:J82" si="44">CHOOSE(E$80,E74+E$78,E74*(1+E$79))</f>
        <v>13.591392427396135</v>
      </c>
      <c r="F82" s="145">
        <f t="shared" si="44"/>
        <v>25.981056338041903</v>
      </c>
      <c r="G82" s="145">
        <f t="shared" si="44"/>
        <v>7.8899576125872262</v>
      </c>
      <c r="H82" s="145">
        <f t="shared" si="44"/>
        <v>17.498011955161793</v>
      </c>
      <c r="I82" s="145">
        <f t="shared" si="44"/>
        <v>5.3994070911912946</v>
      </c>
      <c r="J82" s="145">
        <f t="shared" si="44"/>
        <v>4.9931892569493934</v>
      </c>
      <c r="K82" s="145">
        <f t="shared" ref="D82:K84" si="45">CHOOSE(K$80,K74+K$78,K74*(1+K$79))</f>
        <v>13.504656222151228</v>
      </c>
      <c r="L82" s="145"/>
    </row>
    <row r="83" spans="1:17">
      <c r="B83" t="s">
        <v>36</v>
      </c>
      <c r="D83" s="145">
        <f t="shared" si="45"/>
        <v>13.750932679722597</v>
      </c>
      <c r="E83" s="145">
        <f>CHOOSE(E$80,E75+E$78,E75*(1+E$79))</f>
        <v>9.8930688358887977</v>
      </c>
      <c r="F83" s="145">
        <f>CHOOSE(F$80,F75+F$78,F75*(1+F$79))</f>
        <v>10.345911672048503</v>
      </c>
      <c r="G83" s="145">
        <f t="shared" si="45"/>
        <v>7.0311797859363514</v>
      </c>
      <c r="H83" s="145">
        <f t="shared" ref="H83" si="46">CHOOSE(H$80,H75+H$78,H75*(1+H$79))</f>
        <v>7.0702956983255021</v>
      </c>
      <c r="I83" s="145">
        <f>CHOOSE(I$80,I75+I$78,I75*(1+I$79))</f>
        <v>4.8487403516675283</v>
      </c>
      <c r="J83" s="145">
        <f>CHOOSE(J$80,J75+J$78,J75*(1+J$79))</f>
        <v>4.4874977965914065</v>
      </c>
      <c r="K83" s="145">
        <f>CHOOSE(K$80,K75+K$78,K75*(1+K$79))</f>
        <v>9.4507194332464</v>
      </c>
      <c r="L83" s="145"/>
      <c r="N83" s="145"/>
      <c r="P83">
        <f>0.75*P82</f>
        <v>0</v>
      </c>
    </row>
    <row r="84" spans="1:17">
      <c r="B84" t="s">
        <v>37</v>
      </c>
      <c r="D84" s="145">
        <f t="shared" si="45"/>
        <v>16.270981997249784</v>
      </c>
      <c r="E84" s="145">
        <f t="shared" si="45"/>
        <v>0</v>
      </c>
      <c r="F84" s="145">
        <f t="shared" ref="F84" si="47">CHOOSE(F$80,F76+F$78,F76*(1+F$79))</f>
        <v>0</v>
      </c>
      <c r="G84" s="145">
        <f t="shared" si="45"/>
        <v>0</v>
      </c>
      <c r="H84" s="145">
        <f t="shared" ref="H84" si="48">CHOOSE(H$80,H76+H$78,H76*(1+H$79))</f>
        <v>0</v>
      </c>
      <c r="I84" s="145">
        <f>CHOOSE(I$80,I76+I$78,I76*(1+I$79))</f>
        <v>3.9561813929959633</v>
      </c>
      <c r="J84" s="145">
        <f>CHOOSE(J$80,J76+J$78,J76*(1+J$79))</f>
        <v>3.8276321105145215</v>
      </c>
      <c r="K84" s="145">
        <f t="shared" si="45"/>
        <v>0</v>
      </c>
      <c r="L84" s="145"/>
    </row>
    <row r="85" spans="1:17">
      <c r="A85" t="s">
        <v>228</v>
      </c>
      <c r="B85" s="137" t="s">
        <v>35</v>
      </c>
      <c r="C85" s="160"/>
      <c r="D85" s="181">
        <f>D82</f>
        <v>11.703319521954565</v>
      </c>
      <c r="E85" s="181">
        <f>E82</f>
        <v>13.591392427396135</v>
      </c>
      <c r="F85" s="181">
        <f t="shared" ref="F85" si="49">F82</f>
        <v>25.981056338041903</v>
      </c>
      <c r="G85" s="181">
        <f>G82</f>
        <v>7.8899576125872262</v>
      </c>
      <c r="H85" s="181">
        <f t="shared" ref="H85:J87" si="50">H82</f>
        <v>17.498011955161793</v>
      </c>
      <c r="I85" s="181">
        <f>I82</f>
        <v>5.3994070911912946</v>
      </c>
      <c r="J85" s="181">
        <f t="shared" si="50"/>
        <v>4.9931892569493934</v>
      </c>
      <c r="K85" s="181">
        <f>K82</f>
        <v>13.504656222151228</v>
      </c>
      <c r="L85" s="178"/>
      <c r="P85">
        <f>P82</f>
        <v>0</v>
      </c>
    </row>
    <row r="86" spans="1:17">
      <c r="B86" s="152" t="s">
        <v>36</v>
      </c>
      <c r="C86" s="447"/>
      <c r="D86" s="182">
        <f>D83</f>
        <v>13.750932679722597</v>
      </c>
      <c r="E86" s="182">
        <f>E83</f>
        <v>9.8930688358887977</v>
      </c>
      <c r="F86" s="182">
        <f>F83</f>
        <v>10.345911672048503</v>
      </c>
      <c r="G86" s="182">
        <f>G83</f>
        <v>7.0311797859363514</v>
      </c>
      <c r="H86" s="182">
        <f t="shared" si="50"/>
        <v>7.0702956983255021</v>
      </c>
      <c r="I86" s="182">
        <f t="shared" si="50"/>
        <v>4.8487403516675283</v>
      </c>
      <c r="J86" s="182">
        <f t="shared" si="50"/>
        <v>4.4874977965914065</v>
      </c>
      <c r="K86" s="182">
        <f>K83+0.001</f>
        <v>9.4517194332463994</v>
      </c>
      <c r="L86" s="179"/>
      <c r="M86" s="51">
        <f>I86-I85</f>
        <v>-0.55066673952376632</v>
      </c>
      <c r="P86">
        <f>P83</f>
        <v>0</v>
      </c>
      <c r="Q86">
        <f>0.75*(Q85-Q74)+Q75</f>
        <v>0</v>
      </c>
    </row>
    <row r="87" spans="1:17">
      <c r="B87" s="140" t="s">
        <v>37</v>
      </c>
      <c r="C87" s="163"/>
      <c r="D87" s="183">
        <f>D84+0.001</f>
        <v>16.271981997249785</v>
      </c>
      <c r="E87" s="159">
        <f t="shared" ref="E87:G87" si="51">E84</f>
        <v>0</v>
      </c>
      <c r="F87" s="159">
        <f t="shared" ref="F87" si="52">F84</f>
        <v>0</v>
      </c>
      <c r="G87" s="159">
        <f t="shared" si="51"/>
        <v>0</v>
      </c>
      <c r="H87" s="159">
        <f t="shared" ref="H87" si="53">H84</f>
        <v>0</v>
      </c>
      <c r="I87" s="183">
        <f t="shared" si="50"/>
        <v>3.9561813929959633</v>
      </c>
      <c r="J87" s="183">
        <f>J84</f>
        <v>3.8276321105145215</v>
      </c>
      <c r="K87" s="159">
        <f>K84</f>
        <v>0</v>
      </c>
      <c r="L87" s="180"/>
      <c r="M87" s="51">
        <f>I87-I86</f>
        <v>-0.89255895867156498</v>
      </c>
      <c r="P87">
        <f>P84</f>
        <v>0</v>
      </c>
    </row>
    <row r="88" spans="1:17">
      <c r="B88" t="s">
        <v>221</v>
      </c>
      <c r="C88" s="68">
        <f>SUM(D88:L88)</f>
        <v>595257682.65442193</v>
      </c>
      <c r="D88" s="136">
        <f>SUMPRODUCT(D50:D52,D85:D87)/100</f>
        <v>341443031.10681427</v>
      </c>
      <c r="E88" s="136">
        <f t="shared" ref="E88:K88" si="54">SUMPRODUCT(E50:E52,E85:E87)/100</f>
        <v>86573945.968057632</v>
      </c>
      <c r="F88" s="136">
        <f t="shared" si="54"/>
        <v>52808.946002745179</v>
      </c>
      <c r="G88" s="136">
        <f t="shared" si="54"/>
        <v>103335445.13801521</v>
      </c>
      <c r="H88" s="136">
        <f t="shared" si="54"/>
        <v>43382.387421867847</v>
      </c>
      <c r="I88" s="136">
        <f t="shared" si="54"/>
        <v>30977714.882648889</v>
      </c>
      <c r="J88" s="136">
        <f t="shared" si="54"/>
        <v>16956157.156841487</v>
      </c>
      <c r="K88" s="136">
        <f t="shared" si="54"/>
        <v>15875197.068619872</v>
      </c>
      <c r="L88" s="136"/>
    </row>
    <row r="89" spans="1:17">
      <c r="B89" s="313" t="s">
        <v>222</v>
      </c>
      <c r="C89" s="68">
        <f ca="1">SUM(D89:L89)</f>
        <v>0</v>
      </c>
      <c r="D89" s="136">
        <f ca="1">'Pres &amp; Prop Rev'!D181+'Pres &amp; Prop Rev'!D178</f>
        <v>0</v>
      </c>
      <c r="E89" s="136">
        <f ca="1">'Pres &amp; Prop Rev'!E181+'Pres &amp; Prop Rev'!E178</f>
        <v>0</v>
      </c>
      <c r="F89" s="136">
        <f>'Pres &amp; Prop Rev'!F181+'Pres &amp; Prop Rev'!F178</f>
        <v>0</v>
      </c>
      <c r="G89" s="136">
        <f ca="1">'Pres &amp; Prop Rev'!G181+'Pres &amp; Prop Rev'!G178</f>
        <v>0</v>
      </c>
      <c r="H89" s="136">
        <f>'Pres &amp; Prop Rev'!H181+'Pres &amp; Prop Rev'!H178</f>
        <v>0</v>
      </c>
      <c r="I89" s="136">
        <f ca="1">'Pres &amp; Prop Rev'!I181+'Pres &amp; Prop Rev'!I178+'Pres &amp; Prop Rev'!I174</f>
        <v>0</v>
      </c>
      <c r="J89" s="136">
        <f ca="1">'Pres &amp; Prop Rev'!J181+'Pres &amp; Prop Rev'!J178+'Pres &amp; Prop Rev'!J174</f>
        <v>0</v>
      </c>
      <c r="K89" s="136">
        <f ca="1">'Pres &amp; Prop Rev'!K181+'Pres &amp; Prop Rev'!K178</f>
        <v>0</v>
      </c>
      <c r="L89" s="136"/>
    </row>
    <row r="90" spans="1:17">
      <c r="B90" t="s">
        <v>223</v>
      </c>
      <c r="C90" s="68">
        <f ca="1">SUM(D90:L90)</f>
        <v>-18016769.280000001</v>
      </c>
      <c r="D90" s="136">
        <f ca="1">'Pres &amp; Prop Rev'!D202</f>
        <v>-11900661.940000001</v>
      </c>
      <c r="E90" s="136">
        <f ca="1">'Pres &amp; Prop Rev'!E202</f>
        <v>-2445720.7400000002</v>
      </c>
      <c r="F90" s="136">
        <f>'Pres &amp; Prop Rev'!F202</f>
        <v>0</v>
      </c>
      <c r="G90" s="136">
        <f ca="1">'Pres &amp; Prop Rev'!G202</f>
        <v>-3034238.08</v>
      </c>
      <c r="H90" s="136">
        <f>'Pres &amp; Prop Rev'!H202</f>
        <v>0</v>
      </c>
      <c r="I90" s="136">
        <f>'Pres &amp; Prop Rev'!I202</f>
        <v>0</v>
      </c>
      <c r="J90" s="136">
        <f>'Pres &amp; Prop Rev'!J202</f>
        <v>0</v>
      </c>
      <c r="K90" s="136">
        <f ca="1">'Pres &amp; Prop Rev'!K202</f>
        <v>-636148.52</v>
      </c>
      <c r="L90" s="136"/>
    </row>
    <row r="91" spans="1:17">
      <c r="D91" s="136"/>
    </row>
    <row r="92" spans="1:17">
      <c r="A92" t="s">
        <v>1</v>
      </c>
      <c r="B92" s="174" t="s">
        <v>214</v>
      </c>
      <c r="C92" s="136">
        <f ca="1">IF(ROUND(C59-C64-C71-C72-SUM(C88:C90),3)&lt;&gt;ROUND(SUM(D92:L92),3),#VALUE!,SUM(D92:L92))</f>
        <v>-929.25955801829696</v>
      </c>
      <c r="D92" s="136">
        <f ca="1">D59-D64-D71-D72-SUM(D88:D90)</f>
        <v>0</v>
      </c>
      <c r="E92" s="136">
        <f t="shared" ref="E92:K92" ca="1" si="55">E59-E64-E71-E72-SUM(E88:E90)</f>
        <v>0</v>
      </c>
      <c r="F92" s="136">
        <f t="shared" ca="1" si="55"/>
        <v>0</v>
      </c>
      <c r="G92" s="136">
        <f t="shared" ca="1" si="55"/>
        <v>0</v>
      </c>
      <c r="H92" s="136">
        <f ca="1">H59-H64-H71-H72-SUM(H88:H90)</f>
        <v>0</v>
      </c>
      <c r="I92" s="136">
        <f t="shared" ca="1" si="55"/>
        <v>0</v>
      </c>
      <c r="J92" s="136">
        <f t="shared" ca="1" si="55"/>
        <v>0</v>
      </c>
      <c r="K92" s="136">
        <f t="shared" ca="1" si="55"/>
        <v>-929.25955801829696</v>
      </c>
      <c r="M92" t="s">
        <v>277</v>
      </c>
    </row>
    <row r="93" spans="1:17">
      <c r="B93" s="144" t="s">
        <v>245</v>
      </c>
      <c r="C93" s="172">
        <f t="shared" ref="C93:K93" ca="1" si="56">C92/C55*100</f>
        <v>-1.6167305660460467E-5</v>
      </c>
      <c r="D93" s="172">
        <f ca="1">D92/D55*100</f>
        <v>0</v>
      </c>
      <c r="E93" s="172">
        <f t="shared" ca="1" si="56"/>
        <v>0</v>
      </c>
      <c r="F93" s="172">
        <f t="shared" ref="F93" ca="1" si="57">F92/F55*100</f>
        <v>0</v>
      </c>
      <c r="G93" s="172">
        <f t="shared" ca="1" si="56"/>
        <v>0</v>
      </c>
      <c r="H93" s="172">
        <f t="shared" ref="H93" ca="1" si="58">H92/H55*100</f>
        <v>0</v>
      </c>
      <c r="I93" s="172">
        <f t="shared" ca="1" si="56"/>
        <v>0</v>
      </c>
      <c r="J93" s="172">
        <f t="shared" ref="J93" ca="1" si="59">J92/J55*100</f>
        <v>0</v>
      </c>
      <c r="K93" s="172">
        <f t="shared" ca="1" si="56"/>
        <v>-6.6030739799950852E-4</v>
      </c>
    </row>
    <row r="94" spans="1:17">
      <c r="B94" s="144" t="s">
        <v>320</v>
      </c>
      <c r="C94" s="136">
        <f ca="1">SUM(D94:L94)</f>
        <v>1652.4957683979592</v>
      </c>
      <c r="D94" s="136">
        <f ca="1">D59-'Pres &amp; Prop Rev'!D204-D92</f>
        <v>5035.1768142580986</v>
      </c>
      <c r="E94" s="136">
        <f ca="1">E59-'Pres &amp; Prop Rev'!E204-E92</f>
        <v>1991.5218671560287</v>
      </c>
      <c r="F94" s="136">
        <f ca="1">F59-'Pres &amp; Prop Rev'!F204-F92</f>
        <v>-0.19399725482799113</v>
      </c>
      <c r="G94" s="136">
        <f ca="1">G59-'Pres &amp; Prop Rev'!G204-G92</f>
        <v>-241.59722286462784</v>
      </c>
      <c r="H94" s="136">
        <f ca="1">H59-'Pres &amp; Prop Rev'!H204-H92</f>
        <v>1.0174218678439502</v>
      </c>
      <c r="I94" s="136">
        <f ca="1">I59-'Pres &amp; Prop Rev'!I204-I92</f>
        <v>-3713.0945761203766</v>
      </c>
      <c r="J94" s="136">
        <f ca="1">J59-'Pres &amp; Prop Rev'!J204-J92</f>
        <v>-976.36315851658583</v>
      </c>
      <c r="K94" s="136">
        <f ca="1">K59-'Pres &amp; Prop Rev'!K204-K92</f>
        <v>-443.97138012759387</v>
      </c>
      <c r="L94" s="136"/>
    </row>
    <row r="95" spans="1:17">
      <c r="A95" s="212" t="str">
        <f>IF(Base1_Billing2=2,"MAKE SURE TO CHANGE Base1_Billing2 to '1' before designing Base Rates","")</f>
        <v/>
      </c>
      <c r="B95" s="144"/>
      <c r="C95" s="136"/>
      <c r="D95" s="136"/>
      <c r="E95" s="136"/>
      <c r="F95" s="136"/>
      <c r="G95" s="136"/>
      <c r="H95" s="136"/>
      <c r="I95" s="136"/>
      <c r="J95" s="136"/>
      <c r="K95" s="136"/>
      <c r="L95" s="136"/>
    </row>
    <row r="96" spans="1:17">
      <c r="B96" s="174" t="s">
        <v>309</v>
      </c>
      <c r="C96" s="200">
        <f ca="1">SUM(D96:L96)</f>
        <v>693903998.25361037</v>
      </c>
      <c r="D96" s="136">
        <f ca="1">D59</f>
        <v>356924089.16681427</v>
      </c>
      <c r="E96" s="136">
        <f t="shared" ref="E96:K96" ca="1" si="60">E59</f>
        <v>102299463.55186714</v>
      </c>
      <c r="F96" s="136">
        <f t="shared" ca="1" si="60"/>
        <v>57368.946002745171</v>
      </c>
      <c r="G96" s="136">
        <f t="shared" ca="1" si="60"/>
        <v>144766198.54277712</v>
      </c>
      <c r="H96" s="136">
        <f t="shared" ca="1" si="60"/>
        <v>76682.387421867839</v>
      </c>
      <c r="I96" s="136">
        <f t="shared" ca="1" si="60"/>
        <v>50601488.614423878</v>
      </c>
      <c r="J96" s="136">
        <f ca="1">J59</f>
        <v>23021777.755241483</v>
      </c>
      <c r="K96" s="136">
        <f t="shared" ca="1" si="60"/>
        <v>16156929.289061854</v>
      </c>
      <c r="L96" s="136"/>
    </row>
    <row r="97" spans="2:23">
      <c r="B97" s="174" t="s">
        <v>310</v>
      </c>
      <c r="C97" s="200">
        <f ca="1">SUM(D97:L97)</f>
        <v>693903275.01739991</v>
      </c>
      <c r="D97" s="216">
        <f ca="1">'Pres &amp; Prop Rev'!D204</f>
        <v>356919053.99000001</v>
      </c>
      <c r="E97" s="216">
        <f ca="1">'Pres &amp; Prop Rev'!E204</f>
        <v>102297472.02999999</v>
      </c>
      <c r="F97" s="216">
        <f ca="1">'Pres &amp; Prop Rev'!F204</f>
        <v>57369.14</v>
      </c>
      <c r="G97" s="216">
        <f ca="1">'Pres &amp; Prop Rev'!G204</f>
        <v>144766440.13999999</v>
      </c>
      <c r="H97" s="216">
        <f ca="1">'Pres &amp; Prop Rev'!H204</f>
        <v>76681.37</v>
      </c>
      <c r="I97" s="216">
        <f ca="1">'Pres &amp; Prop Rev'!I204</f>
        <v>50605201.708999999</v>
      </c>
      <c r="J97" s="216">
        <f ca="1">'Pres &amp; Prop Rev'!J204</f>
        <v>23022754.1184</v>
      </c>
      <c r="K97" s="216">
        <f ca="1">'Pres &amp; Prop Rev'!K204</f>
        <v>16158302.52</v>
      </c>
      <c r="L97" s="216"/>
    </row>
    <row r="98" spans="2:23">
      <c r="B98" s="144"/>
      <c r="C98" s="218">
        <f ca="1">SUM(D98:K98)</f>
        <v>-723.23621037966223</v>
      </c>
      <c r="D98" s="217">
        <f t="shared" ref="D98:K98" ca="1" si="61">D97-D96</f>
        <v>-5035.1768142580986</v>
      </c>
      <c r="E98" s="217">
        <f t="shared" ca="1" si="61"/>
        <v>-1991.5218671560287</v>
      </c>
      <c r="F98" s="217">
        <f t="shared" ca="1" si="61"/>
        <v>0.19399725482799113</v>
      </c>
      <c r="G98" s="217">
        <f t="shared" ca="1" si="61"/>
        <v>241.59722286462784</v>
      </c>
      <c r="H98" s="217">
        <f t="shared" ca="1" si="61"/>
        <v>-1.0174218678439502</v>
      </c>
      <c r="I98" s="217">
        <f t="shared" ca="1" si="61"/>
        <v>3713.0945761203766</v>
      </c>
      <c r="J98" s="217">
        <f t="shared" ca="1" si="61"/>
        <v>976.36315851658583</v>
      </c>
      <c r="K98" s="217">
        <f t="shared" ca="1" si="61"/>
        <v>1373.2309381458908</v>
      </c>
      <c r="L98" s="217"/>
    </row>
    <row r="99" spans="2:23">
      <c r="B99" s="76" t="s">
        <v>236</v>
      </c>
      <c r="C99" s="76"/>
    </row>
    <row r="100" spans="2:23">
      <c r="B100" s="135" t="s">
        <v>237</v>
      </c>
      <c r="C100" s="149">
        <f ca="1">'Pres &amp; Prop Rev'!C164/'Pres &amp; Prop Rev'!C111-1</f>
        <v>5.8014053547844169E-2</v>
      </c>
      <c r="D100" s="149">
        <f ca="1">'Pres &amp; Prop Rev'!D164/'Pres &amp; Prop Rev'!D111-1</f>
        <v>0</v>
      </c>
      <c r="E100" s="149">
        <f ca="1">'Pres &amp; Prop Rev'!E164/'Pres &amp; Prop Rev'!E111-1</f>
        <v>0.19999999999999996</v>
      </c>
      <c r="F100" s="149">
        <f ca="1">'Pres &amp; Prop Rev'!F164/'Pres &amp; Prop Rev'!F111-1</f>
        <v>0.19999999999999996</v>
      </c>
      <c r="G100" s="149" t="e">
        <f>'Pres &amp; Prop Rev'!G164/'Pres &amp; Prop Rev'!G111-1</f>
        <v>#DIV/0!</v>
      </c>
      <c r="H100" s="149" t="e">
        <f ca="1">'Pres &amp; Prop Rev'!H164/'Pres &amp; Prop Rev'!H111-1</f>
        <v>#DIV/0!</v>
      </c>
      <c r="I100" s="149" t="e">
        <f>'Pres &amp; Prop Rev'!I164/'Pres &amp; Prop Rev'!I111-1</f>
        <v>#DIV/0!</v>
      </c>
      <c r="J100" s="149" t="e">
        <f>'Pres &amp; Prop Rev'!J164/'Pres &amp; Prop Rev'!J111-1</f>
        <v>#DIV/0!</v>
      </c>
      <c r="K100" s="149">
        <f ca="1">'Pres &amp; Prop Rev'!K164/'Pres &amp; Prop Rev'!K111-1</f>
        <v>0.19999999999999996</v>
      </c>
      <c r="L100" s="149"/>
    </row>
    <row r="101" spans="2:23">
      <c r="B101" s="135" t="s">
        <v>238</v>
      </c>
      <c r="C101" s="149">
        <f ca="1">SUM('Pres &amp; Prop Rev'!C170:C171)/SUM('Pres &amp; Prop Rev'!C117:C118)-1</f>
        <v>0.16460301414889034</v>
      </c>
      <c r="D101" s="149" t="e">
        <f>SUM('Pres &amp; Prop Rev'!D170:D171)/SUM('Pres &amp; Prop Rev'!D117:D118)-1</f>
        <v>#DIV/0!</v>
      </c>
      <c r="E101" s="149">
        <f ca="1">SUM('Pres &amp; Prop Rev'!E170:E171)/SUM('Pres &amp; Prop Rev'!E117:E118)-1</f>
        <v>0.11111111036447019</v>
      </c>
      <c r="F101" s="149" t="e">
        <f>SUM('Pres &amp; Prop Rev'!F170:F171)/SUM('Pres &amp; Prop Rev'!F117:F118)-1</f>
        <v>#DIV/0!</v>
      </c>
      <c r="G101" s="149">
        <f ca="1">SUM('Pres &amp; Prop Rev'!G170:G171)/SUM('Pres &amp; Prop Rev'!G117:G118)-1</f>
        <v>0.14626364081286614</v>
      </c>
      <c r="H101" s="149">
        <f ca="1">SUM('Pres &amp; Prop Rev'!H170:H171)/SUM('Pres &amp; Prop Rev'!H117:H118)-1</f>
        <v>0.19999999999999996</v>
      </c>
      <c r="I101" s="149">
        <f ca="1">SUM('Pres &amp; Prop Rev'!I170:I171)/SUM('Pres &amp; Prop Rev'!I117:I118)-1</f>
        <v>0.2518560232438769</v>
      </c>
      <c r="J101" s="149">
        <f ca="1">SUM('Pres &amp; Prop Rev'!J170:J171)/SUM('Pres &amp; Prop Rev'!J117:J118)-1</f>
        <v>0.10506094059421089</v>
      </c>
      <c r="K101" s="149" t="e">
        <f>SUM('Pres &amp; Prop Rev'!K170:K171)/SUM('Pres &amp; Prop Rev'!K117:K118)-1</f>
        <v>#DIV/0!</v>
      </c>
    </row>
    <row r="102" spans="2:23">
      <c r="B102" s="135" t="s">
        <v>222</v>
      </c>
      <c r="C102" s="149" t="e">
        <f ca="1">'Pres &amp; Prop Rev'!C181/'Pres &amp; Prop Rev'!C128-1</f>
        <v>#DIV/0!</v>
      </c>
      <c r="D102" s="149" t="e">
        <f ca="1">'Pres &amp; Prop Rev'!D181/'Pres &amp; Prop Rev'!D128-1</f>
        <v>#DIV/0!</v>
      </c>
      <c r="E102" s="149" t="e">
        <f ca="1">'Pres &amp; Prop Rev'!E181/'Pres &amp; Prop Rev'!E128-1</f>
        <v>#DIV/0!</v>
      </c>
      <c r="F102" s="149" t="e">
        <f>'Pres &amp; Prop Rev'!F181/'Pres &amp; Prop Rev'!F128-1</f>
        <v>#DIV/0!</v>
      </c>
      <c r="G102" s="149" t="e">
        <f ca="1">'Pres &amp; Prop Rev'!G181/'Pres &amp; Prop Rev'!G128-1</f>
        <v>#DIV/0!</v>
      </c>
      <c r="H102" s="149" t="e">
        <f>'Pres &amp; Prop Rev'!H181/'Pres &amp; Prop Rev'!H128-1</f>
        <v>#DIV/0!</v>
      </c>
      <c r="I102" s="149" t="e">
        <f>'Pres &amp; Prop Rev'!I181/'Pres &amp; Prop Rev'!I128-1</f>
        <v>#DIV/0!</v>
      </c>
      <c r="J102" s="149" t="e">
        <f>'Pres &amp; Prop Rev'!J181/'Pres &amp; Prop Rev'!J128-1</f>
        <v>#DIV/0!</v>
      </c>
      <c r="K102" s="149" t="e">
        <f ca="1">'Pres &amp; Prop Rev'!K181/'Pres &amp; Prop Rev'!K128-1</f>
        <v>#DIV/0!</v>
      </c>
    </row>
    <row r="103" spans="2:23">
      <c r="B103" s="135" t="s">
        <v>223</v>
      </c>
      <c r="C103" s="149">
        <f ca="1">'Pres &amp; Prop Rev'!C202/'Pres &amp; Prop Rev'!C149-1</f>
        <v>0.12404986708924293</v>
      </c>
      <c r="D103" s="149">
        <f ca="1">'Pres &amp; Prop Rev'!D202/'Pres &amp; Prop Rev'!D149-1</f>
        <v>0.16942280129744169</v>
      </c>
      <c r="E103" s="149">
        <f ca="1">'Pres &amp; Prop Rev'!E202/'Pres &amp; Prop Rev'!E149-1</f>
        <v>6.4558938803440657E-2</v>
      </c>
      <c r="F103" s="149" t="e">
        <f>'Pres &amp; Prop Rev'!F202/'Pres &amp; Prop Rev'!F149-1</f>
        <v>#DIV/0!</v>
      </c>
      <c r="G103" s="149">
        <f ca="1">'Pres &amp; Prop Rev'!G202/'Pres &amp; Prop Rev'!G149-1</f>
        <v>1.8701536785753259E-2</v>
      </c>
      <c r="H103" s="149" t="e">
        <f>'Pres &amp; Prop Rev'!H202/'Pres &amp; Prop Rev'!H149-1</f>
        <v>#DIV/0!</v>
      </c>
      <c r="I103" s="149" t="e">
        <f>'Pres &amp; Prop Rev'!I202/'Pres &amp; Prop Rev'!I149-1</f>
        <v>#DIV/0!</v>
      </c>
      <c r="J103" s="149" t="e">
        <f>'Pres &amp; Prop Rev'!J202/'Pres &amp; Prop Rev'!J149-1</f>
        <v>#DIV/0!</v>
      </c>
      <c r="K103" s="149">
        <f ca="1">'Pres &amp; Prop Rev'!K202/'Pres &amp; Prop Rev'!K149-1</f>
        <v>0.10446485753576829</v>
      </c>
    </row>
    <row r="104" spans="2:23">
      <c r="B104" s="135" t="s">
        <v>239</v>
      </c>
      <c r="C104" s="149">
        <f ca="1">SUM('Pres &amp; Prop Rev'!C166:C169)/SUM('Pres &amp; Prop Rev'!C113:C116)-1</f>
        <v>0.10632281562233059</v>
      </c>
      <c r="D104" s="149">
        <f ca="1">SUM('Pres &amp; Prop Rev'!D166:D169)/SUM('Pres &amp; Prop Rev'!D113:D116)-1</f>
        <v>0.16939200242890395</v>
      </c>
      <c r="E104" s="149">
        <f ca="1">SUM('Pres &amp; Prop Rev'!E166:E169)/SUM('Pres &amp; Prop Rev'!E113:E116)-1</f>
        <v>6.4547644313124763E-2</v>
      </c>
      <c r="F104" s="149">
        <f ca="1">SUM('Pres &amp; Prop Rev'!F166:F169)/SUM('Pres &amp; Prop Rev'!F113:F116)-1</f>
        <v>0.10215730822964497</v>
      </c>
      <c r="G104" s="149">
        <f ca="1">SUM('Pres &amp; Prop Rev'!G166:G169)/SUM('Pres &amp; Prop Rev'!G113:G116)-1</f>
        <v>1.871866490431251E-2</v>
      </c>
      <c r="H104" s="149">
        <f ca="1">SUM('Pres &amp; Prop Rev'!H166:H169)/SUM('Pres &amp; Prop Rev'!H113:H116)-1</f>
        <v>4.8514120172648889E-2</v>
      </c>
      <c r="I104" s="149">
        <f ca="1">SUM('Pres &amp; Prop Rev'!I166:I169)/SUM('Pres &amp; Prop Rev'!I113:I116)-1</f>
        <v>-4.2296712230191713E-2</v>
      </c>
      <c r="J104" s="149">
        <f ca="1">SUM('Pres &amp; Prop Rev'!J166:J169)/SUM('Pres &amp; Prop Rev'!J113:J116)-1</f>
        <v>2.788735546030563E-2</v>
      </c>
      <c r="K104" s="149">
        <f ca="1">SUM('Pres &amp; Prop Rev'!K166:K169)/SUM('Pres &amp; Prop Rev'!K113:K116)-1</f>
        <v>0.10441428411944154</v>
      </c>
    </row>
    <row r="105" spans="2:23">
      <c r="B105" s="134" t="s">
        <v>240</v>
      </c>
      <c r="C105" s="173">
        <f ca="1">'Pres &amp; Prop Rev'!C208</f>
        <v>0.10934247047968179</v>
      </c>
      <c r="D105" s="173">
        <f ca="1">'Pres &amp; Prop Rev'!D208</f>
        <v>0.15438943513546985</v>
      </c>
      <c r="E105" s="173">
        <f ca="1">'Pres &amp; Prop Rev'!E208</f>
        <v>8.1986257361135378E-2</v>
      </c>
      <c r="F105" s="173">
        <f ca="1">'Pres &amp; Prop Rev'!F208</f>
        <v>0.10934684654198436</v>
      </c>
      <c r="G105" s="173">
        <f ca="1">'Pres &amp; Prop Rev'!G208</f>
        <v>5.4673307727759191E-2</v>
      </c>
      <c r="H105" s="173">
        <f ca="1">'Pres &amp; Prop Rev'!H208</f>
        <v>0.10932837645430375</v>
      </c>
      <c r="I105" s="173">
        <f ca="1">'Pres &amp; Prop Rev'!I208</f>
        <v>5.4748938517942367E-2</v>
      </c>
      <c r="J105" s="173">
        <f ca="1">'Pres &amp; Prop Rev'!J208</f>
        <v>5.352606553118907E-2</v>
      </c>
      <c r="K105" s="173">
        <f ca="1">'Pres &amp; Prop Rev'!K208</f>
        <v>0.10943738196201706</v>
      </c>
    </row>
    <row r="107" spans="2:23">
      <c r="B107" t="s">
        <v>241</v>
      </c>
      <c r="D107" s="164">
        <f t="shared" ref="D107:K107" si="62">D55/D56</f>
        <v>944.77574655364231</v>
      </c>
      <c r="E107" s="164">
        <f t="shared" si="62"/>
        <v>1626.2044399486488</v>
      </c>
      <c r="F107" s="164">
        <f t="shared" si="62"/>
        <v>2438.2721710526316</v>
      </c>
      <c r="G107" s="164">
        <f t="shared" si="62"/>
        <v>62906.672838364531</v>
      </c>
      <c r="H107" s="164">
        <f t="shared" si="62"/>
        <v>12206.579189189188</v>
      </c>
      <c r="I107" s="164">
        <f t="shared" si="62"/>
        <v>2491448.3578055557</v>
      </c>
      <c r="J107" s="164">
        <f t="shared" si="62"/>
        <v>35815686</v>
      </c>
      <c r="K107" s="164">
        <f t="shared" si="62"/>
        <v>4595.009516478598</v>
      </c>
    </row>
    <row r="108" spans="2:23">
      <c r="B108" s="160" t="s">
        <v>242</v>
      </c>
      <c r="C108" s="168" t="str">
        <f>INDEX($D$2:$L$2,N108)</f>
        <v>SCH. 1</v>
      </c>
      <c r="D108" s="165"/>
      <c r="E108" s="160"/>
      <c r="F108" s="168" t="str">
        <f>INDEX($D$2:$L$2,O108)</f>
        <v>SCH. 11,12</v>
      </c>
      <c r="G108" s="165"/>
      <c r="H108" s="165"/>
      <c r="I108" s="165"/>
      <c r="J108" s="165"/>
      <c r="K108" s="160"/>
      <c r="L108" s="171"/>
      <c r="M108" s="171"/>
      <c r="N108" s="167">
        <v>1</v>
      </c>
      <c r="O108" s="167">
        <v>2</v>
      </c>
    </row>
    <row r="109" spans="2:23">
      <c r="B109" s="212" t="str">
        <f>IF(Base1_Billing2=2,"BILLING RATES","BASE RATES")</f>
        <v>BASE RATES</v>
      </c>
      <c r="C109" s="57" t="s">
        <v>243</v>
      </c>
      <c r="D109" s="57" t="s">
        <v>244</v>
      </c>
      <c r="E109" s="57" t="s">
        <v>249</v>
      </c>
      <c r="F109" s="57" t="s">
        <v>243</v>
      </c>
      <c r="G109" s="57" t="s">
        <v>244</v>
      </c>
      <c r="H109" s="57" t="s">
        <v>249</v>
      </c>
      <c r="I109" s="57"/>
      <c r="J109" s="57"/>
      <c r="P109" s="554"/>
      <c r="R109" s="554"/>
      <c r="S109"/>
      <c r="T109" s="554"/>
      <c r="U109"/>
      <c r="W109"/>
    </row>
    <row r="110" spans="2:23">
      <c r="B110" s="166">
        <v>100</v>
      </c>
      <c r="C110" s="136"/>
      <c r="D110" s="136"/>
      <c r="E110" s="149"/>
      <c r="F110" s="136"/>
      <c r="G110" s="136"/>
      <c r="H110" s="149"/>
      <c r="I110" s="149"/>
      <c r="J110" s="149"/>
      <c r="P110" s="554"/>
      <c r="R110" s="554"/>
      <c r="S110"/>
      <c r="T110" s="554"/>
      <c r="U110"/>
      <c r="W110"/>
    </row>
    <row r="111" spans="2:23">
      <c r="B111" s="166">
        <v>200</v>
      </c>
      <c r="C111" s="136"/>
      <c r="D111" s="136"/>
      <c r="E111" s="149"/>
      <c r="F111" s="136"/>
      <c r="G111" s="136"/>
      <c r="H111" s="149"/>
      <c r="I111" s="149"/>
      <c r="J111" s="149"/>
      <c r="P111" s="554"/>
      <c r="R111" s="554"/>
      <c r="S111"/>
      <c r="T111" s="554"/>
      <c r="U111"/>
      <c r="W111"/>
    </row>
    <row r="112" spans="2:23">
      <c r="B112" s="166">
        <v>300</v>
      </c>
      <c r="C112" s="136"/>
      <c r="D112" s="136"/>
      <c r="E112" s="149"/>
      <c r="F112" s="136"/>
      <c r="G112" s="136"/>
      <c r="H112" s="149"/>
      <c r="I112" s="149"/>
      <c r="J112" s="149"/>
      <c r="P112" s="554"/>
      <c r="R112" s="554"/>
      <c r="S112"/>
      <c r="T112" s="554"/>
      <c r="U112"/>
      <c r="W112"/>
    </row>
    <row r="113" spans="2:23">
      <c r="B113" s="166">
        <v>400</v>
      </c>
      <c r="C113" s="136"/>
      <c r="D113" s="136"/>
      <c r="E113" s="149"/>
      <c r="F113" s="136"/>
      <c r="G113" s="136"/>
      <c r="H113" s="149"/>
      <c r="I113" s="149"/>
      <c r="J113" s="149"/>
      <c r="P113" s="554"/>
      <c r="R113" s="554"/>
      <c r="S113"/>
      <c r="T113" s="554"/>
      <c r="U113"/>
      <c r="W113"/>
    </row>
    <row r="114" spans="2:23">
      <c r="B114" s="166">
        <v>500</v>
      </c>
      <c r="C114" s="136"/>
      <c r="D114" s="136"/>
      <c r="E114" s="149"/>
      <c r="F114" s="136"/>
      <c r="G114" s="136"/>
      <c r="H114" s="149"/>
      <c r="I114" s="149"/>
      <c r="J114" s="149"/>
      <c r="P114" s="554"/>
      <c r="R114" s="554"/>
      <c r="S114"/>
      <c r="T114" s="554"/>
      <c r="U114"/>
      <c r="W114"/>
    </row>
    <row r="115" spans="2:23">
      <c r="B115" s="166">
        <v>600</v>
      </c>
      <c r="C115" s="136"/>
      <c r="D115" s="136"/>
      <c r="E115" s="149"/>
      <c r="F115" s="136"/>
      <c r="G115" s="136"/>
      <c r="H115" s="149"/>
      <c r="I115" s="149"/>
      <c r="J115" s="149"/>
      <c r="P115" s="554"/>
      <c r="R115" s="554"/>
      <c r="S115"/>
      <c r="T115" s="554"/>
      <c r="U115"/>
      <c r="W115"/>
    </row>
    <row r="116" spans="2:23">
      <c r="B116" s="166">
        <v>700</v>
      </c>
      <c r="C116" s="136"/>
      <c r="D116" s="136"/>
      <c r="E116" s="149"/>
      <c r="F116" s="136"/>
      <c r="G116" s="136"/>
      <c r="H116" s="149"/>
      <c r="I116" s="149"/>
      <c r="J116" s="149"/>
      <c r="P116" s="554"/>
      <c r="R116" s="554"/>
      <c r="S116"/>
      <c r="T116" s="554"/>
      <c r="U116"/>
      <c r="W116"/>
    </row>
    <row r="117" spans="2:23">
      <c r="B117" s="166">
        <v>800</v>
      </c>
      <c r="C117" s="136"/>
      <c r="D117" s="136"/>
      <c r="E117" s="149"/>
      <c r="F117" s="136"/>
      <c r="G117" s="136"/>
      <c r="H117" s="149"/>
      <c r="I117" s="149"/>
      <c r="J117" s="149"/>
      <c r="P117" s="554"/>
      <c r="R117" s="554"/>
      <c r="S117"/>
      <c r="T117" s="554"/>
      <c r="U117"/>
      <c r="W117"/>
    </row>
    <row r="118" spans="2:23">
      <c r="B118" s="166">
        <v>900</v>
      </c>
      <c r="C118" s="136"/>
      <c r="D118" s="136"/>
      <c r="E118" s="149"/>
      <c r="F118" s="136"/>
      <c r="G118" s="136"/>
      <c r="H118" s="149"/>
      <c r="I118" s="149"/>
      <c r="J118" s="149"/>
      <c r="P118" s="554"/>
      <c r="R118" s="554"/>
      <c r="S118"/>
      <c r="T118" s="554"/>
      <c r="U118"/>
      <c r="W118"/>
    </row>
    <row r="119" spans="2:23">
      <c r="B119" s="166">
        <v>1000</v>
      </c>
      <c r="C119" s="52">
        <f>ROUND(D14+600*D15/100+400*D16/100,2)</f>
        <v>126.37</v>
      </c>
      <c r="D119" s="52">
        <f>ROUND(D36+600*D37/100+400*D38/100,2)</f>
        <v>144.51</v>
      </c>
      <c r="E119" s="281">
        <f>D119/C119-1</f>
        <v>0.14354672786262546</v>
      </c>
      <c r="F119" s="52">
        <f>D119-C119</f>
        <v>18.139999999999986</v>
      </c>
      <c r="G119" s="136"/>
      <c r="H119" s="149"/>
      <c r="I119" s="149"/>
      <c r="J119" s="149"/>
      <c r="P119" s="554"/>
      <c r="R119" s="554"/>
      <c r="S119"/>
      <c r="T119" s="554"/>
      <c r="U119"/>
      <c r="W119"/>
    </row>
    <row r="120" spans="2:23">
      <c r="B120" s="166">
        <v>1100</v>
      </c>
      <c r="C120" s="52"/>
      <c r="D120" s="52"/>
      <c r="E120" s="281"/>
      <c r="F120" s="52"/>
      <c r="G120" s="136"/>
      <c r="H120" s="149"/>
      <c r="I120" s="149"/>
      <c r="J120" s="149"/>
      <c r="P120" s="554"/>
      <c r="R120" s="554"/>
      <c r="S120"/>
      <c r="T120" s="554"/>
      <c r="U120"/>
      <c r="W120"/>
    </row>
    <row r="121" spans="2:23">
      <c r="B121" s="166">
        <v>1200</v>
      </c>
      <c r="C121" s="136"/>
      <c r="D121" s="136"/>
      <c r="E121" s="149"/>
      <c r="F121" s="136"/>
      <c r="G121" s="136"/>
      <c r="H121" s="149"/>
      <c r="I121" s="149"/>
      <c r="J121" s="149"/>
      <c r="P121" s="554"/>
      <c r="R121" s="554"/>
      <c r="S121"/>
      <c r="T121" s="554"/>
      <c r="U121"/>
      <c r="W121"/>
    </row>
    <row r="122" spans="2:23">
      <c r="B122" s="166">
        <v>1300</v>
      </c>
      <c r="C122" s="136"/>
      <c r="D122" s="136"/>
      <c r="E122" s="149"/>
      <c r="F122" s="136"/>
      <c r="G122" s="136"/>
      <c r="H122" s="149"/>
      <c r="I122" s="149"/>
      <c r="J122" s="149"/>
      <c r="P122" s="554"/>
      <c r="R122" s="554"/>
      <c r="S122"/>
      <c r="T122" s="554"/>
      <c r="U122"/>
      <c r="W122"/>
    </row>
    <row r="123" spans="2:23">
      <c r="B123" s="166">
        <v>1400</v>
      </c>
      <c r="C123" s="136"/>
      <c r="D123" s="136"/>
      <c r="E123" s="149"/>
      <c r="F123" s="136"/>
      <c r="G123" s="136"/>
      <c r="H123" s="149"/>
      <c r="I123" s="149"/>
      <c r="J123" s="149"/>
      <c r="P123" s="554"/>
      <c r="R123" s="554"/>
      <c r="S123"/>
      <c r="T123" s="554"/>
      <c r="U123"/>
      <c r="W123"/>
    </row>
    <row r="124" spans="2:23">
      <c r="B124" s="166">
        <v>1500</v>
      </c>
      <c r="C124" s="136"/>
      <c r="D124" s="136"/>
      <c r="E124" s="149"/>
      <c r="F124" s="136"/>
      <c r="G124" s="136"/>
      <c r="H124" s="149"/>
      <c r="I124" s="149"/>
      <c r="J124" s="149"/>
      <c r="P124" s="554"/>
      <c r="R124" s="554"/>
      <c r="S124"/>
      <c r="T124" s="554"/>
      <c r="U124"/>
      <c r="W124"/>
    </row>
    <row r="125" spans="2:23">
      <c r="F125"/>
      <c r="H125"/>
      <c r="J125"/>
      <c r="P125" s="554"/>
      <c r="R125" s="554"/>
      <c r="S125"/>
      <c r="T125" s="554"/>
      <c r="U125"/>
      <c r="W125"/>
    </row>
    <row r="126" spans="2:23">
      <c r="F126"/>
      <c r="H126"/>
      <c r="J126"/>
      <c r="P126" s="554"/>
      <c r="R126" s="554"/>
      <c r="S126"/>
      <c r="T126" s="554"/>
      <c r="U126"/>
      <c r="W126"/>
    </row>
    <row r="127" spans="2:23">
      <c r="E127" s="361"/>
      <c r="F127"/>
      <c r="H127"/>
      <c r="J127"/>
      <c r="P127" s="554"/>
      <c r="R127" s="554"/>
      <c r="S127"/>
      <c r="T127" s="554"/>
      <c r="U127"/>
      <c r="W127"/>
    </row>
    <row r="128" spans="2:23">
      <c r="F128"/>
      <c r="H128"/>
      <c r="J128"/>
      <c r="P128" s="554"/>
      <c r="R128" s="554"/>
      <c r="S128"/>
      <c r="T128" s="554"/>
      <c r="U128"/>
      <c r="W128"/>
    </row>
    <row r="129" spans="6:23">
      <c r="F129"/>
      <c r="H129"/>
      <c r="J129"/>
      <c r="P129" s="554"/>
      <c r="R129" s="554"/>
      <c r="S129"/>
      <c r="T129" s="554"/>
      <c r="U129"/>
      <c r="W129"/>
    </row>
    <row r="130" spans="6:23">
      <c r="F130"/>
      <c r="H130"/>
      <c r="J130"/>
      <c r="P130" s="554"/>
      <c r="R130" s="554"/>
      <c r="S130"/>
      <c r="T130" s="554"/>
      <c r="U130"/>
      <c r="W130"/>
    </row>
    <row r="131" spans="6:23">
      <c r="G131" s="554"/>
      <c r="J131"/>
      <c r="Q131" s="554"/>
      <c r="W131"/>
    </row>
    <row r="132" spans="6:23">
      <c r="H132"/>
      <c r="I132" s="554"/>
      <c r="J132"/>
      <c r="R132" s="554"/>
      <c r="S132"/>
      <c r="T132" s="554"/>
      <c r="U132"/>
      <c r="V132" s="554"/>
      <c r="W132"/>
    </row>
    <row r="133" spans="6:23">
      <c r="H133"/>
      <c r="I133" s="554"/>
      <c r="J133"/>
      <c r="R133" s="554"/>
      <c r="S133"/>
      <c r="T133" s="554"/>
      <c r="U133"/>
      <c r="V133" s="554"/>
      <c r="W133"/>
    </row>
    <row r="134" spans="6:23">
      <c r="H134"/>
      <c r="I134" s="554"/>
      <c r="J134"/>
      <c r="R134" s="554"/>
      <c r="S134"/>
      <c r="T134" s="554"/>
      <c r="U134"/>
      <c r="V134" s="554"/>
      <c r="W134"/>
    </row>
    <row r="135" spans="6:23">
      <c r="H135"/>
      <c r="I135" s="554"/>
      <c r="J135"/>
      <c r="R135" s="554"/>
      <c r="S135"/>
      <c r="T135" s="554"/>
      <c r="U135"/>
      <c r="V135" s="554"/>
      <c r="W135"/>
    </row>
    <row r="136" spans="6:23">
      <c r="H136"/>
      <c r="I136" s="554"/>
      <c r="J136"/>
      <c r="R136" s="554"/>
      <c r="S136"/>
      <c r="T136" s="554"/>
      <c r="U136"/>
      <c r="V136" s="554"/>
      <c r="W136"/>
    </row>
  </sheetData>
  <phoneticPr fontId="15" type="noConversion"/>
  <conditionalFormatting sqref="D40:E42 L37:L39 G40:G42 I36 I40:I42 K40:L42 K36:L36 D40:K40 D36:E36 G36 L15:L17 D14:L14 D18:L20">
    <cfRule type="expression" dxfId="65" priority="63" stopIfTrue="1">
      <formula>D14-D4&lt;0</formula>
    </cfRule>
  </conditionalFormatting>
  <conditionalFormatting sqref="D62:E62 E69 G69 G62 I62 I69 K69 K62 G66:I66">
    <cfRule type="expression" dxfId="64" priority="64" stopIfTrue="1">
      <formula>ABS(D62-D61)&gt;0.001</formula>
    </cfRule>
  </conditionalFormatting>
  <conditionalFormatting sqref="D85:E87 G85:G87 K85:L87 I85:I87">
    <cfRule type="expression" dxfId="63" priority="65" stopIfTrue="1">
      <formula>ABS(D85-D74)&gt;0.000001</formula>
    </cfRule>
  </conditionalFormatting>
  <conditionalFormatting sqref="L94:L95">
    <cfRule type="expression" dxfId="62" priority="66" stopIfTrue="1">
      <formula>ABS(L94)&gt;0.1</formula>
    </cfRule>
  </conditionalFormatting>
  <conditionalFormatting sqref="D92:E92 G92 I92 K92:L92">
    <cfRule type="expression" dxfId="61" priority="67" stopIfTrue="1">
      <formula>ABS(D92)&gt;1000</formula>
    </cfRule>
  </conditionalFormatting>
  <conditionalFormatting sqref="C95:E95 G95 I95 K95">
    <cfRule type="expression" dxfId="60" priority="68" stopIfTrue="1">
      <formula>ABS(C95)&gt;4000</formula>
    </cfRule>
  </conditionalFormatting>
  <conditionalFormatting sqref="F36 F40:F42">
    <cfRule type="expression" dxfId="59" priority="60" stopIfTrue="1">
      <formula>F36-F26&lt;0</formula>
    </cfRule>
  </conditionalFormatting>
  <conditionalFormatting sqref="H40:H42 H36">
    <cfRule type="expression" dxfId="58" priority="57" stopIfTrue="1">
      <formula>H36-H26&lt;0</formula>
    </cfRule>
  </conditionalFormatting>
  <conditionalFormatting sqref="J36 J40:J42">
    <cfRule type="expression" dxfId="57" priority="54" stopIfTrue="1">
      <formula>J36-J26&lt;0</formula>
    </cfRule>
  </conditionalFormatting>
  <conditionalFormatting sqref="F62">
    <cfRule type="expression" dxfId="56" priority="48" stopIfTrue="1">
      <formula>ABS(F62-F61)&gt;0.001</formula>
    </cfRule>
  </conditionalFormatting>
  <conditionalFormatting sqref="F85:F87">
    <cfRule type="expression" dxfId="55" priority="49" stopIfTrue="1">
      <formula>ABS(F85-F74)&gt;0.000001</formula>
    </cfRule>
  </conditionalFormatting>
  <conditionalFormatting sqref="F92">
    <cfRule type="expression" dxfId="54" priority="50" stopIfTrue="1">
      <formula>ABS(F92)&gt;1000</formula>
    </cfRule>
  </conditionalFormatting>
  <conditionalFormatting sqref="F95">
    <cfRule type="expression" dxfId="53" priority="51" stopIfTrue="1">
      <formula>ABS(F95)&gt;4000</formula>
    </cfRule>
  </conditionalFormatting>
  <conditionalFormatting sqref="H62">
    <cfRule type="expression" dxfId="52" priority="44" stopIfTrue="1">
      <formula>ABS(H62-H61)&gt;0.001</formula>
    </cfRule>
  </conditionalFormatting>
  <conditionalFormatting sqref="H85:H87">
    <cfRule type="expression" dxfId="51" priority="45" stopIfTrue="1">
      <formula>ABS(H85-H74)&gt;0.000001</formula>
    </cfRule>
  </conditionalFormatting>
  <conditionalFormatting sqref="H92">
    <cfRule type="expression" dxfId="50" priority="46" stopIfTrue="1">
      <formula>ABS(H92)&gt;1000</formula>
    </cfRule>
  </conditionalFormatting>
  <conditionalFormatting sqref="H95">
    <cfRule type="expression" dxfId="49" priority="47" stopIfTrue="1">
      <formula>ABS(H95)&gt;4000</formula>
    </cfRule>
  </conditionalFormatting>
  <conditionalFormatting sqref="J62 J69 J66">
    <cfRule type="expression" dxfId="48" priority="40" stopIfTrue="1">
      <formula>ABS(J62-J61)&gt;0.001</formula>
    </cfRule>
  </conditionalFormatting>
  <conditionalFormatting sqref="J85:J87">
    <cfRule type="expression" dxfId="47" priority="41" stopIfTrue="1">
      <formula>ABS(J85-J74)&gt;0.000001</formula>
    </cfRule>
  </conditionalFormatting>
  <conditionalFormatting sqref="J92">
    <cfRule type="expression" dxfId="46" priority="42" stopIfTrue="1">
      <formula>ABS(J92)&gt;1000</formula>
    </cfRule>
  </conditionalFormatting>
  <conditionalFormatting sqref="J95">
    <cfRule type="expression" dxfId="45" priority="43" stopIfTrue="1">
      <formula>ABS(J95)&gt;4000</formula>
    </cfRule>
  </conditionalFormatting>
  <conditionalFormatting sqref="G15:G17 I15:I17 K15:K17">
    <cfRule type="expression" dxfId="44" priority="14" stopIfTrue="1">
      <formula>G15-G5&lt;0</formula>
    </cfRule>
  </conditionalFormatting>
  <conditionalFormatting sqref="D15:E17">
    <cfRule type="expression" dxfId="43" priority="13" stopIfTrue="1">
      <formula>D15-D5&lt;0</formula>
    </cfRule>
  </conditionalFormatting>
  <conditionalFormatting sqref="F15:F17">
    <cfRule type="expression" dxfId="42" priority="12" stopIfTrue="1">
      <formula>F15-F5&lt;0</formula>
    </cfRule>
  </conditionalFormatting>
  <conditionalFormatting sqref="H15:H17">
    <cfRule type="expression" dxfId="41" priority="11" stopIfTrue="1">
      <formula>H15-H5&lt;0</formula>
    </cfRule>
  </conditionalFormatting>
  <conditionalFormatting sqref="J15:J17">
    <cfRule type="expression" dxfId="40" priority="10" stopIfTrue="1">
      <formula>J15-J5&lt;0</formula>
    </cfRule>
  </conditionalFormatting>
  <conditionalFormatting sqref="D39:K39 D38:D39 D37:E38 G37:G38 I38:J39 I37:K38">
    <cfRule type="expression" dxfId="39" priority="9" stopIfTrue="1">
      <formula>D37-D27&lt;0</formula>
    </cfRule>
  </conditionalFormatting>
  <conditionalFormatting sqref="D37:E39 G37:G39 I37:I39 K37:K39">
    <cfRule type="expression" dxfId="38" priority="8" stopIfTrue="1">
      <formula>D37-D27&lt;0</formula>
    </cfRule>
  </conditionalFormatting>
  <conditionalFormatting sqref="F39">
    <cfRule type="expression" dxfId="37" priority="7" stopIfTrue="1">
      <formula>F39-F29&lt;0</formula>
    </cfRule>
  </conditionalFormatting>
  <conditionalFormatting sqref="H39">
    <cfRule type="expression" dxfId="36" priority="6" stopIfTrue="1">
      <formula>H39-H29&lt;0</formula>
    </cfRule>
  </conditionalFormatting>
  <conditionalFormatting sqref="J37:J39">
    <cfRule type="expression" dxfId="35" priority="5" stopIfTrue="1">
      <formula>J37-J27&lt;0</formula>
    </cfRule>
  </conditionalFormatting>
  <conditionalFormatting sqref="F37:F38">
    <cfRule type="expression" dxfId="34" priority="4" stopIfTrue="1">
      <formula>F37-F27&lt;0</formula>
    </cfRule>
  </conditionalFormatting>
  <conditionalFormatting sqref="F37:F38">
    <cfRule type="expression" dxfId="33" priority="3" stopIfTrue="1">
      <formula>F37-F27&lt;0</formula>
    </cfRule>
  </conditionalFormatting>
  <conditionalFormatting sqref="H37:H38">
    <cfRule type="expression" dxfId="32" priority="2" stopIfTrue="1">
      <formula>H37-H27&lt;0</formula>
    </cfRule>
  </conditionalFormatting>
  <conditionalFormatting sqref="H37:H38">
    <cfRule type="expression" dxfId="31" priority="1" stopIfTrue="1">
      <formula>H37-H27&lt;0</formula>
    </cfRule>
  </conditionalFormatting>
  <pageMargins left="0.25" right="0.25" top="0.5" bottom="0.5" header="0.5" footer="0.25"/>
  <pageSetup scale="71" orientation="landscape" r:id="rId1"/>
  <headerFooter alignWithMargins="0">
    <oddFooter>&amp;L&amp;F</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B050"/>
    <pageSetUpPr fitToPage="1"/>
  </sheetPr>
  <dimension ref="A1:AB140"/>
  <sheetViews>
    <sheetView showGridLines="0" tabSelected="1" view="pageBreakPreview" zoomScale="130" zoomScaleNormal="100" zoomScaleSheetLayoutView="130" workbookViewId="0">
      <selection activeCell="D31" sqref="D31"/>
    </sheetView>
  </sheetViews>
  <sheetFormatPr defaultColWidth="11.42578125" defaultRowHeight="12.75"/>
  <cols>
    <col min="1" max="1" width="5" style="205" customWidth="1"/>
    <col min="2" max="2" width="42.140625" style="43" customWidth="1"/>
    <col min="3" max="3" width="8.7109375" style="205" customWidth="1"/>
    <col min="4" max="5" width="12.42578125" style="327" customWidth="1"/>
    <col min="6" max="6" width="15" style="327" bestFit="1" customWidth="1"/>
    <col min="7" max="7" width="10.42578125" style="196" bestFit="1" customWidth="1"/>
    <col min="8" max="8" width="14.42578125" style="196" hidden="1" customWidth="1"/>
    <col min="9" max="9" width="12.28515625" style="43" customWidth="1"/>
    <col min="10" max="10" width="15" style="380" hidden="1" customWidth="1"/>
    <col min="11" max="11" width="12.28515625" style="380" hidden="1" customWidth="1"/>
    <col min="12" max="12" width="13.28515625" style="43" bestFit="1" customWidth="1"/>
    <col min="13" max="13" width="15" style="380" customWidth="1"/>
    <col min="14" max="14" width="10.140625" style="380" customWidth="1"/>
    <col min="15" max="15" width="11.140625" style="43" customWidth="1"/>
    <col min="16" max="16" width="12.28515625" style="380" hidden="1" customWidth="1"/>
    <col min="17" max="17" width="8.28515625" style="43" hidden="1" customWidth="1"/>
    <col min="18" max="18" width="13.7109375" style="108" bestFit="1" customWidth="1"/>
    <col min="19" max="19" width="9.28515625" style="43" bestFit="1" customWidth="1"/>
    <col min="20" max="20" width="1.7109375" style="43" customWidth="1"/>
    <col min="21" max="21" width="11.42578125" style="43" customWidth="1"/>
    <col min="22" max="22" width="13.42578125" style="43" customWidth="1"/>
    <col min="23" max="16384" width="11.42578125" style="43"/>
  </cols>
  <sheetData>
    <row r="1" spans="1:23" s="205" customFormat="1">
      <c r="A1" s="874" t="s">
        <v>78</v>
      </c>
      <c r="B1" s="874"/>
      <c r="C1" s="874"/>
      <c r="D1" s="874"/>
      <c r="E1" s="874"/>
      <c r="F1" s="874"/>
      <c r="G1" s="874"/>
      <c r="H1" s="874"/>
      <c r="I1" s="874"/>
      <c r="J1" s="874"/>
      <c r="K1" s="874"/>
      <c r="L1" s="874"/>
      <c r="M1" s="874"/>
      <c r="N1" s="874"/>
      <c r="O1" s="874"/>
      <c r="P1" s="874"/>
      <c r="Q1" s="874"/>
      <c r="R1" s="874"/>
      <c r="S1" s="874"/>
      <c r="T1" s="43"/>
      <c r="V1" s="875" t="s">
        <v>316</v>
      </c>
      <c r="W1" s="875"/>
    </row>
    <row r="2" spans="1:23" s="205" customFormat="1">
      <c r="A2" s="874" t="s">
        <v>365</v>
      </c>
      <c r="B2" s="874"/>
      <c r="C2" s="874"/>
      <c r="D2" s="874"/>
      <c r="E2" s="874"/>
      <c r="F2" s="874"/>
      <c r="G2" s="874"/>
      <c r="H2" s="874"/>
      <c r="I2" s="874"/>
      <c r="J2" s="874"/>
      <c r="K2" s="874"/>
      <c r="L2" s="874"/>
      <c r="M2" s="874"/>
      <c r="N2" s="874"/>
      <c r="O2" s="874"/>
      <c r="P2" s="874"/>
      <c r="Q2" s="874"/>
      <c r="R2" s="874"/>
      <c r="S2" s="874"/>
      <c r="T2" s="43"/>
      <c r="V2" s="875"/>
      <c r="W2" s="875"/>
    </row>
    <row r="3" spans="1:23" s="205" customFormat="1">
      <c r="A3" s="874" t="s">
        <v>278</v>
      </c>
      <c r="B3" s="874"/>
      <c r="C3" s="874"/>
      <c r="D3" s="874"/>
      <c r="E3" s="874"/>
      <c r="F3" s="874"/>
      <c r="G3" s="874"/>
      <c r="H3" s="874"/>
      <c r="I3" s="874"/>
      <c r="J3" s="874"/>
      <c r="K3" s="874"/>
      <c r="L3" s="874"/>
      <c r="M3" s="874"/>
      <c r="N3" s="874"/>
      <c r="O3" s="874"/>
      <c r="P3" s="874"/>
      <c r="Q3" s="874"/>
      <c r="R3" s="874"/>
      <c r="S3" s="874"/>
      <c r="T3" s="43"/>
      <c r="V3" s="875"/>
      <c r="W3" s="875"/>
    </row>
    <row r="4" spans="1:23" s="205" customFormat="1">
      <c r="A4" s="874" t="s">
        <v>810</v>
      </c>
      <c r="B4" s="874"/>
      <c r="C4" s="874"/>
      <c r="D4" s="874"/>
      <c r="E4" s="874"/>
      <c r="F4" s="874"/>
      <c r="G4" s="874"/>
      <c r="H4" s="874"/>
      <c r="I4" s="874"/>
      <c r="J4" s="874"/>
      <c r="K4" s="874"/>
      <c r="L4" s="874"/>
      <c r="M4" s="874"/>
      <c r="N4" s="874"/>
      <c r="O4" s="874"/>
      <c r="P4" s="874"/>
      <c r="Q4" s="874"/>
      <c r="R4" s="874"/>
      <c r="S4" s="874"/>
      <c r="T4" s="43"/>
    </row>
    <row r="5" spans="1:23" s="205" customFormat="1">
      <c r="A5" s="874" t="s">
        <v>279</v>
      </c>
      <c r="B5" s="874"/>
      <c r="C5" s="874"/>
      <c r="D5" s="874"/>
      <c r="E5" s="874"/>
      <c r="F5" s="874"/>
      <c r="G5" s="874"/>
      <c r="H5" s="874"/>
      <c r="I5" s="874"/>
      <c r="J5" s="874"/>
      <c r="K5" s="874"/>
      <c r="L5" s="874"/>
      <c r="M5" s="874"/>
      <c r="N5" s="874"/>
      <c r="O5" s="874"/>
      <c r="P5" s="874"/>
      <c r="Q5" s="874"/>
      <c r="R5" s="874"/>
      <c r="S5" s="874"/>
      <c r="T5" s="43"/>
    </row>
    <row r="6" spans="1:23" s="205" customFormat="1">
      <c r="C6" s="43"/>
      <c r="D6" s="322"/>
      <c r="E6" s="322"/>
      <c r="F6" s="311"/>
      <c r="G6" s="192"/>
      <c r="H6" s="192"/>
      <c r="J6" s="448"/>
      <c r="K6" s="448"/>
      <c r="M6" s="448"/>
      <c r="N6" s="448"/>
      <c r="S6" s="312"/>
      <c r="T6" s="43"/>
    </row>
    <row r="7" spans="1:23" s="205" customFormat="1" ht="15.75">
      <c r="A7" s="465"/>
      <c r="B7" s="867" t="s">
        <v>907</v>
      </c>
      <c r="C7" s="43"/>
      <c r="D7" s="322"/>
      <c r="E7" s="322"/>
      <c r="F7" s="311"/>
      <c r="G7" s="192"/>
      <c r="H7" s="192"/>
      <c r="J7" s="448"/>
      <c r="K7" s="448"/>
      <c r="M7" s="448"/>
      <c r="N7" s="448"/>
      <c r="S7" s="312"/>
      <c r="T7" s="43"/>
    </row>
    <row r="8" spans="1:23" s="448" customFormat="1">
      <c r="C8" s="323"/>
      <c r="D8" s="322" t="s">
        <v>200</v>
      </c>
      <c r="E8" s="322"/>
      <c r="F8" s="322" t="s">
        <v>200</v>
      </c>
      <c r="G8" s="193" t="s">
        <v>254</v>
      </c>
      <c r="H8" s="193" t="s">
        <v>200</v>
      </c>
      <c r="I8" s="448" t="s">
        <v>280</v>
      </c>
      <c r="K8" s="448" t="s">
        <v>644</v>
      </c>
      <c r="L8" s="448" t="s">
        <v>713</v>
      </c>
      <c r="M8" s="500" t="s">
        <v>911</v>
      </c>
      <c r="N8" s="500"/>
      <c r="O8" s="832" t="s">
        <v>285</v>
      </c>
      <c r="S8" s="832"/>
      <c r="T8" s="380"/>
    </row>
    <row r="9" spans="1:23" s="448" customFormat="1">
      <c r="C9" s="323"/>
      <c r="D9" s="448" t="s">
        <v>83</v>
      </c>
      <c r="E9" s="322"/>
      <c r="F9" s="448" t="s">
        <v>83</v>
      </c>
      <c r="G9" s="191" t="s">
        <v>256</v>
      </c>
      <c r="H9" s="192" t="s">
        <v>285</v>
      </c>
      <c r="I9" s="448" t="s">
        <v>83</v>
      </c>
      <c r="J9" s="448" t="s">
        <v>664</v>
      </c>
      <c r="K9" s="448" t="s">
        <v>83</v>
      </c>
      <c r="L9" s="322" t="s">
        <v>246</v>
      </c>
      <c r="M9" s="322" t="s">
        <v>912</v>
      </c>
      <c r="N9" s="831" t="s">
        <v>64</v>
      </c>
      <c r="O9" s="832" t="s">
        <v>263</v>
      </c>
      <c r="S9" s="832"/>
      <c r="T9" s="380"/>
    </row>
    <row r="10" spans="1:23" s="448" customFormat="1">
      <c r="B10" s="448" t="s">
        <v>258</v>
      </c>
      <c r="C10" s="448" t="s">
        <v>281</v>
      </c>
      <c r="D10" s="322" t="s">
        <v>282</v>
      </c>
      <c r="E10" s="322" t="s">
        <v>283</v>
      </c>
      <c r="F10" s="322" t="s">
        <v>284</v>
      </c>
      <c r="G10" s="192" t="s">
        <v>285</v>
      </c>
      <c r="H10" s="192" t="s">
        <v>670</v>
      </c>
      <c r="I10" s="448" t="s">
        <v>286</v>
      </c>
      <c r="J10" s="448" t="s">
        <v>643</v>
      </c>
      <c r="K10" s="448" t="s">
        <v>286</v>
      </c>
      <c r="L10" s="322" t="s">
        <v>283</v>
      </c>
      <c r="M10" s="322" t="s">
        <v>295</v>
      </c>
      <c r="N10" s="831" t="s">
        <v>712</v>
      </c>
      <c r="O10" s="832" t="s">
        <v>287</v>
      </c>
      <c r="S10" s="832"/>
      <c r="T10" s="380"/>
    </row>
    <row r="11" spans="1:23" s="448" customFormat="1">
      <c r="A11" s="309" t="s">
        <v>260</v>
      </c>
      <c r="B11" s="309" t="s">
        <v>261</v>
      </c>
      <c r="C11" s="309" t="s">
        <v>262</v>
      </c>
      <c r="D11" s="325" t="s">
        <v>288</v>
      </c>
      <c r="E11" s="325" t="s">
        <v>263</v>
      </c>
      <c r="F11" s="325" t="s">
        <v>288</v>
      </c>
      <c r="G11" s="194" t="s">
        <v>263</v>
      </c>
      <c r="H11" s="194" t="s">
        <v>782</v>
      </c>
      <c r="I11" s="309" t="s">
        <v>400</v>
      </c>
      <c r="J11" s="309" t="s">
        <v>670</v>
      </c>
      <c r="K11" s="309" t="s">
        <v>400</v>
      </c>
      <c r="L11" s="325" t="s">
        <v>263</v>
      </c>
      <c r="M11" s="325" t="s">
        <v>645</v>
      </c>
      <c r="N11" s="539" t="s">
        <v>414</v>
      </c>
      <c r="O11" s="195" t="s">
        <v>83</v>
      </c>
      <c r="S11" s="832"/>
      <c r="T11" s="380"/>
    </row>
    <row r="12" spans="1:23" s="448" customFormat="1">
      <c r="B12" s="448" t="s">
        <v>264</v>
      </c>
      <c r="C12" s="448" t="s">
        <v>265</v>
      </c>
      <c r="D12" s="322" t="s">
        <v>266</v>
      </c>
      <c r="E12" s="448" t="s">
        <v>267</v>
      </c>
      <c r="F12" s="448" t="s">
        <v>268</v>
      </c>
      <c r="G12" s="192" t="s">
        <v>269</v>
      </c>
      <c r="H12" s="448" t="s">
        <v>290</v>
      </c>
      <c r="I12" s="448" t="s">
        <v>270</v>
      </c>
      <c r="J12" s="448" t="s">
        <v>289</v>
      </c>
      <c r="K12" s="448" t="s">
        <v>289</v>
      </c>
      <c r="L12" s="448" t="s">
        <v>290</v>
      </c>
      <c r="M12" s="448" t="s">
        <v>388</v>
      </c>
      <c r="N12" s="832" t="s">
        <v>342</v>
      </c>
      <c r="O12" s="832" t="s">
        <v>388</v>
      </c>
      <c r="S12" s="832"/>
      <c r="T12" s="380"/>
    </row>
    <row r="13" spans="1:23" s="448" customFormat="1">
      <c r="B13" s="380"/>
      <c r="D13" s="326" t="s">
        <v>906</v>
      </c>
      <c r="E13" s="196"/>
      <c r="F13" s="327"/>
      <c r="G13" s="196"/>
      <c r="H13" s="196"/>
      <c r="I13" s="494"/>
      <c r="J13" s="380"/>
      <c r="K13" s="380"/>
      <c r="L13" s="380"/>
      <c r="M13" s="380"/>
      <c r="N13" s="108"/>
      <c r="O13" s="380"/>
      <c r="S13" s="832"/>
      <c r="T13" s="380"/>
    </row>
    <row r="14" spans="1:23" s="448" customFormat="1">
      <c r="A14" s="448">
        <v>1</v>
      </c>
      <c r="B14" s="380" t="s">
        <v>271</v>
      </c>
      <c r="C14" s="358" t="s">
        <v>901</v>
      </c>
      <c r="D14" s="490">
        <v>279948.63818000001</v>
      </c>
      <c r="E14" s="490">
        <v>29235.631120000005</v>
      </c>
      <c r="F14" s="322">
        <v>309184.26930000004</v>
      </c>
      <c r="G14" s="305">
        <v>0.10443212479998643</v>
      </c>
      <c r="H14" s="305">
        <v>9.4557304568534853E-2</v>
      </c>
      <c r="I14" s="322">
        <v>287709.75261000003</v>
      </c>
      <c r="J14" s="310">
        <v>0</v>
      </c>
      <c r="K14" s="490">
        <v>287709.75261000003</v>
      </c>
      <c r="L14" s="310">
        <v>29235.631120000005</v>
      </c>
      <c r="M14" s="310">
        <v>0</v>
      </c>
      <c r="N14" s="540">
        <v>29235.631120000005</v>
      </c>
      <c r="O14" s="306">
        <v>0.10161501601800012</v>
      </c>
      <c r="S14" s="832"/>
      <c r="T14" s="380"/>
    </row>
    <row r="15" spans="1:23" s="448" customFormat="1">
      <c r="B15" s="380"/>
      <c r="D15" s="490"/>
      <c r="E15" s="490"/>
      <c r="F15" s="322"/>
      <c r="G15" s="305"/>
      <c r="H15" s="305"/>
      <c r="I15" s="322"/>
      <c r="J15" s="310"/>
      <c r="K15" s="490"/>
      <c r="L15" s="310"/>
      <c r="M15" s="310"/>
      <c r="N15" s="540"/>
      <c r="O15" s="306"/>
      <c r="S15" s="832"/>
      <c r="T15" s="380"/>
    </row>
    <row r="16" spans="1:23" s="448" customFormat="1">
      <c r="A16" s="448">
        <v>2</v>
      </c>
      <c r="B16" s="380" t="s">
        <v>272</v>
      </c>
      <c r="C16" s="358" t="s">
        <v>418</v>
      </c>
      <c r="D16" s="490">
        <v>89664.691392857145</v>
      </c>
      <c r="E16" s="490">
        <v>4881.7079971428511</v>
      </c>
      <c r="F16" s="322">
        <v>94546.399389999991</v>
      </c>
      <c r="G16" s="305">
        <v>5.4444039468714851E-2</v>
      </c>
      <c r="H16" s="305">
        <v>5.1632933973572145E-2</v>
      </c>
      <c r="I16" s="322">
        <v>102262.20603285699</v>
      </c>
      <c r="J16" s="310">
        <v>0</v>
      </c>
      <c r="K16" s="490">
        <v>102262.20603285699</v>
      </c>
      <c r="L16" s="310">
        <v>4881.7079971428511</v>
      </c>
      <c r="M16" s="310">
        <v>0</v>
      </c>
      <c r="N16" s="540">
        <v>4881.7079971428511</v>
      </c>
      <c r="O16" s="306">
        <v>4.7737166901859633E-2</v>
      </c>
      <c r="S16" s="832"/>
      <c r="T16" s="380"/>
    </row>
    <row r="17" spans="1:20" s="448" customFormat="1">
      <c r="B17" s="380"/>
      <c r="C17" s="358"/>
      <c r="D17" s="490"/>
      <c r="E17" s="490"/>
      <c r="F17" s="322"/>
      <c r="G17" s="305"/>
      <c r="H17" s="305"/>
      <c r="I17" s="322"/>
      <c r="J17" s="310"/>
      <c r="K17" s="490"/>
      <c r="L17" s="310"/>
      <c r="M17" s="310"/>
      <c r="N17" s="540"/>
      <c r="O17" s="306"/>
      <c r="S17" s="832"/>
      <c r="T17" s="380"/>
    </row>
    <row r="18" spans="1:20" s="448" customFormat="1">
      <c r="A18" s="448">
        <v>3</v>
      </c>
      <c r="B18" s="380" t="s">
        <v>767</v>
      </c>
      <c r="C18" s="359">
        <v>13</v>
      </c>
      <c r="D18" s="490">
        <v>48.212069999999997</v>
      </c>
      <c r="E18" s="490">
        <v>3.5022699999999967</v>
      </c>
      <c r="F18" s="322">
        <v>51.51433999999999</v>
      </c>
      <c r="G18" s="305">
        <v>7.2643012424067191E-2</v>
      </c>
      <c r="H18" s="305">
        <v>6.7986312160846815E-2</v>
      </c>
      <c r="I18" s="322">
        <v>55.250100000000003</v>
      </c>
      <c r="J18" s="310">
        <v>0</v>
      </c>
      <c r="K18" s="490">
        <v>55.250100000000003</v>
      </c>
      <c r="L18" s="310">
        <v>3.5022699999999967</v>
      </c>
      <c r="M18" s="310">
        <v>0</v>
      </c>
      <c r="N18" s="540">
        <v>3.5022699999999967</v>
      </c>
      <c r="O18" s="306">
        <v>6.3389387530520244E-2</v>
      </c>
      <c r="S18" s="832"/>
      <c r="T18" s="380"/>
    </row>
    <row r="19" spans="1:20" s="448" customFormat="1">
      <c r="B19" s="380"/>
      <c r="D19" s="490"/>
      <c r="E19" s="490"/>
      <c r="F19" s="322"/>
      <c r="G19" s="305"/>
      <c r="H19" s="305"/>
      <c r="I19" s="322"/>
      <c r="J19" s="310"/>
      <c r="K19" s="490"/>
      <c r="L19" s="310"/>
      <c r="M19" s="310"/>
      <c r="N19" s="540"/>
      <c r="O19" s="306"/>
      <c r="S19" s="832"/>
      <c r="T19" s="380"/>
    </row>
    <row r="20" spans="1:20" s="448" customFormat="1">
      <c r="A20" s="448">
        <v>4</v>
      </c>
      <c r="B20" s="380" t="s">
        <v>273</v>
      </c>
      <c r="C20" s="359" t="s">
        <v>419</v>
      </c>
      <c r="D20" s="490">
        <v>132450.41680857143</v>
      </c>
      <c r="E20" s="490">
        <v>4811.4623714285644</v>
      </c>
      <c r="F20" s="322">
        <v>137261.87917999999</v>
      </c>
      <c r="G20" s="305">
        <v>3.6326517404490298E-2</v>
      </c>
      <c r="H20" s="305">
        <v>3.5053158241546409E-2</v>
      </c>
      <c r="I20" s="322">
        <v>153637.575008571</v>
      </c>
      <c r="J20" s="310">
        <v>0</v>
      </c>
      <c r="K20" s="490">
        <v>153637.575008571</v>
      </c>
      <c r="L20" s="310">
        <v>4811.4623714285644</v>
      </c>
      <c r="M20" s="310">
        <v>0</v>
      </c>
      <c r="N20" s="540">
        <v>4811.4623714285644</v>
      </c>
      <c r="O20" s="306">
        <v>3.1316963777644542E-2</v>
      </c>
      <c r="S20" s="832"/>
      <c r="T20" s="380"/>
    </row>
    <row r="21" spans="1:20" s="448" customFormat="1">
      <c r="B21" s="380"/>
      <c r="C21" s="359"/>
      <c r="D21" s="490"/>
      <c r="E21" s="490"/>
      <c r="F21" s="322"/>
      <c r="G21" s="305"/>
      <c r="H21" s="305"/>
      <c r="I21" s="322"/>
      <c r="J21" s="310"/>
      <c r="K21" s="490"/>
      <c r="L21" s="310"/>
      <c r="M21" s="310"/>
      <c r="N21" s="540"/>
      <c r="O21" s="306"/>
      <c r="S21" s="832"/>
      <c r="T21" s="380"/>
    </row>
    <row r="22" spans="1:20" s="448" customFormat="1">
      <c r="A22" s="448">
        <v>5</v>
      </c>
      <c r="B22" s="380" t="s">
        <v>766</v>
      </c>
      <c r="C22" s="359">
        <v>23</v>
      </c>
      <c r="D22" s="490">
        <v>64.444969999999998</v>
      </c>
      <c r="E22" s="490">
        <v>4.6791699999999983</v>
      </c>
      <c r="F22" s="322">
        <v>68.724139999999991</v>
      </c>
      <c r="G22" s="305">
        <v>7.2607218220444483E-2</v>
      </c>
      <c r="H22" s="305">
        <v>6.8086264884507808E-2</v>
      </c>
      <c r="I22" s="322">
        <v>71.942239999999998</v>
      </c>
      <c r="J22" s="310">
        <v>0</v>
      </c>
      <c r="K22" s="490">
        <v>71.942239999999998</v>
      </c>
      <c r="L22" s="310">
        <v>4.6791699999999983</v>
      </c>
      <c r="M22" s="310">
        <v>0</v>
      </c>
      <c r="N22" s="540">
        <v>4.6791699999999983</v>
      </c>
      <c r="O22" s="306">
        <v>6.5040649276419504E-2</v>
      </c>
      <c r="S22" s="832"/>
      <c r="T22" s="380"/>
    </row>
    <row r="23" spans="1:20" s="448" customFormat="1">
      <c r="B23" s="380"/>
      <c r="D23" s="490"/>
      <c r="E23" s="490"/>
      <c r="F23" s="322"/>
      <c r="G23" s="305"/>
      <c r="H23" s="305"/>
      <c r="I23" s="322"/>
      <c r="J23" s="310"/>
      <c r="K23" s="490"/>
      <c r="L23" s="310"/>
      <c r="M23" s="310"/>
      <c r="N23" s="540"/>
      <c r="O23" s="306"/>
      <c r="S23" s="832"/>
      <c r="T23" s="380"/>
    </row>
    <row r="24" spans="1:20" s="448" customFormat="1">
      <c r="A24" s="448">
        <v>6</v>
      </c>
      <c r="B24" s="380" t="s">
        <v>291</v>
      </c>
      <c r="C24" s="448">
        <v>25</v>
      </c>
      <c r="D24" s="490">
        <v>46296.1825417</v>
      </c>
      <c r="E24" s="490">
        <v>1682.2242672999948</v>
      </c>
      <c r="F24" s="322">
        <v>47978.406808999993</v>
      </c>
      <c r="G24" s="305">
        <v>3.6336133455167237E-2</v>
      </c>
      <c r="H24" s="305">
        <v>3.5062111878721991E-2</v>
      </c>
      <c r="I24" s="322">
        <v>52469.886721700008</v>
      </c>
      <c r="J24" s="310">
        <v>0</v>
      </c>
      <c r="K24" s="490">
        <v>52469.886721700008</v>
      </c>
      <c r="L24" s="310">
        <v>1682.2242672999948</v>
      </c>
      <c r="M24" s="310">
        <v>0</v>
      </c>
      <c r="N24" s="540">
        <v>1682.2242672999948</v>
      </c>
      <c r="O24" s="306">
        <v>3.2060756605450727E-2</v>
      </c>
      <c r="S24" s="832"/>
      <c r="T24" s="380"/>
    </row>
    <row r="25" spans="1:20" s="448" customFormat="1">
      <c r="B25" s="380"/>
      <c r="D25" s="490"/>
      <c r="E25" s="490"/>
      <c r="F25" s="322"/>
      <c r="G25" s="305"/>
      <c r="H25" s="305"/>
      <c r="I25" s="322"/>
      <c r="J25" s="310"/>
      <c r="K25" s="490"/>
      <c r="L25" s="310"/>
      <c r="M25" s="310"/>
      <c r="N25" s="540"/>
      <c r="O25" s="306"/>
      <c r="S25" s="832"/>
      <c r="T25" s="380"/>
    </row>
    <row r="26" spans="1:20" s="448" customFormat="1">
      <c r="A26" s="448">
        <v>7</v>
      </c>
      <c r="B26" s="380" t="s">
        <v>788</v>
      </c>
      <c r="C26" s="448" t="s">
        <v>753</v>
      </c>
      <c r="D26" s="490">
        <v>21103.693740400002</v>
      </c>
      <c r="E26" s="490">
        <v>749.3527779999971</v>
      </c>
      <c r="F26" s="322">
        <v>21853.346518399998</v>
      </c>
      <c r="G26" s="305">
        <v>3.550813365744919E-2</v>
      </c>
      <c r="H26" s="305">
        <v>3.4290069823816681E-2</v>
      </c>
      <c r="I26" s="322">
        <v>23891.024070399999</v>
      </c>
      <c r="J26" s="310">
        <v>0</v>
      </c>
      <c r="K26" s="490">
        <v>23891.024070399999</v>
      </c>
      <c r="L26" s="310">
        <v>749.3527779999971</v>
      </c>
      <c r="M26" s="310">
        <v>0</v>
      </c>
      <c r="N26" s="540">
        <v>749.3527779999971</v>
      </c>
      <c r="O26" s="306">
        <v>3.1365452388808002E-2</v>
      </c>
      <c r="S26" s="832"/>
      <c r="T26" s="380"/>
    </row>
    <row r="27" spans="1:20" s="448" customFormat="1">
      <c r="B27" s="380"/>
      <c r="D27" s="490"/>
      <c r="E27" s="490"/>
      <c r="F27" s="322"/>
      <c r="G27" s="305"/>
      <c r="H27" s="305"/>
      <c r="I27" s="322"/>
      <c r="J27" s="310"/>
      <c r="K27" s="490"/>
      <c r="L27" s="310"/>
      <c r="M27" s="310"/>
      <c r="N27" s="540"/>
      <c r="O27" s="306"/>
      <c r="S27" s="832"/>
      <c r="T27" s="380"/>
    </row>
    <row r="28" spans="1:20" s="448" customFormat="1">
      <c r="A28" s="448">
        <v>8</v>
      </c>
      <c r="B28" s="380" t="s">
        <v>274</v>
      </c>
      <c r="C28" s="359" t="s">
        <v>420</v>
      </c>
      <c r="D28" s="490">
        <v>13579.03759</v>
      </c>
      <c r="E28" s="490">
        <v>985.47387000000106</v>
      </c>
      <c r="F28" s="322">
        <v>14564.511460000002</v>
      </c>
      <c r="G28" s="305">
        <v>7.2573174900534401E-2</v>
      </c>
      <c r="H28" s="305">
        <v>6.7662679431885378E-2</v>
      </c>
      <c r="I28" s="322">
        <v>15776.036910000001</v>
      </c>
      <c r="J28" s="310">
        <v>0</v>
      </c>
      <c r="K28" s="490">
        <v>15776.036910000001</v>
      </c>
      <c r="L28" s="310">
        <v>985.47387000000106</v>
      </c>
      <c r="M28" s="310">
        <v>0</v>
      </c>
      <c r="N28" s="540">
        <v>985.47387000000106</v>
      </c>
      <c r="O28" s="306">
        <v>6.2466503826150155E-2</v>
      </c>
      <c r="S28" s="832"/>
      <c r="T28" s="380"/>
    </row>
    <row r="29" spans="1:20" s="448" customFormat="1">
      <c r="B29" s="380"/>
      <c r="D29" s="490"/>
      <c r="E29" s="490"/>
      <c r="F29" s="322"/>
      <c r="G29" s="305"/>
      <c r="H29" s="305"/>
      <c r="I29" s="322"/>
      <c r="J29" s="310"/>
      <c r="K29" s="490"/>
      <c r="L29" s="310"/>
      <c r="M29" s="310"/>
      <c r="N29" s="540"/>
      <c r="O29" s="306"/>
      <c r="S29" s="832"/>
      <c r="T29" s="380"/>
    </row>
    <row r="30" spans="1:20" s="448" customFormat="1">
      <c r="A30" s="448">
        <v>9</v>
      </c>
      <c r="B30" s="380" t="s">
        <v>275</v>
      </c>
      <c r="C30" s="448" t="s">
        <v>321</v>
      </c>
      <c r="D30" s="496">
        <v>7407.9618023400008</v>
      </c>
      <c r="E30" s="496">
        <v>538.3971600000001</v>
      </c>
      <c r="F30" s="328">
        <v>7946.3589623400012</v>
      </c>
      <c r="G30" s="624">
        <v>7.2678177124230456E-2</v>
      </c>
      <c r="H30" s="305">
        <v>6.7753943982598014E-2</v>
      </c>
      <c r="I30" s="328">
        <v>8295.1163623399989</v>
      </c>
      <c r="J30" s="495">
        <v>0</v>
      </c>
      <c r="K30" s="496">
        <v>8295.1163623399989</v>
      </c>
      <c r="L30" s="495">
        <v>538.3971600000001</v>
      </c>
      <c r="M30" s="495">
        <v>0</v>
      </c>
      <c r="N30" s="625">
        <v>538.3971600000001</v>
      </c>
      <c r="O30" s="626">
        <v>6.4905317355683445E-2</v>
      </c>
      <c r="S30" s="832"/>
      <c r="T30" s="380"/>
    </row>
    <row r="31" spans="1:20" s="448" customFormat="1">
      <c r="B31" s="380"/>
      <c r="D31" s="322"/>
      <c r="E31" s="330"/>
      <c r="F31" s="322"/>
      <c r="G31" s="305"/>
      <c r="H31" s="330"/>
      <c r="I31" s="330"/>
      <c r="J31" s="310"/>
      <c r="K31" s="490"/>
      <c r="L31" s="310"/>
      <c r="M31" s="310"/>
      <c r="N31" s="540"/>
      <c r="O31" s="306"/>
      <c r="S31" s="832"/>
      <c r="T31" s="380"/>
    </row>
    <row r="32" spans="1:20" s="448" customFormat="1">
      <c r="A32" s="448">
        <v>10</v>
      </c>
      <c r="B32" s="332" t="s">
        <v>64</v>
      </c>
      <c r="D32" s="322">
        <v>590563.27909586858</v>
      </c>
      <c r="E32" s="322">
        <v>42892.431003871417</v>
      </c>
      <c r="F32" s="322">
        <v>633455.41009973991</v>
      </c>
      <c r="G32" s="305">
        <v>7.2629695279290321E-2</v>
      </c>
      <c r="H32" s="305"/>
      <c r="I32" s="322">
        <v>644168.7900558681</v>
      </c>
      <c r="J32" s="310">
        <v>0</v>
      </c>
      <c r="K32" s="490">
        <v>644168.7900558681</v>
      </c>
      <c r="L32" s="310">
        <v>42892.431003871417</v>
      </c>
      <c r="M32" s="310">
        <v>0</v>
      </c>
      <c r="N32" s="540">
        <v>42892.431003871417</v>
      </c>
      <c r="O32" s="306">
        <v>6.658570186263045E-2</v>
      </c>
      <c r="S32" s="832"/>
      <c r="T32" s="380"/>
    </row>
    <row r="33" spans="1:28" s="448" customFormat="1" ht="15.75">
      <c r="A33" s="465"/>
      <c r="C33" s="380"/>
      <c r="D33" s="322"/>
      <c r="E33" s="322"/>
      <c r="F33" s="831"/>
      <c r="G33" s="192"/>
      <c r="H33" s="192"/>
      <c r="S33" s="832"/>
      <c r="T33" s="380"/>
    </row>
    <row r="34" spans="1:28" s="448" customFormat="1" ht="15.75">
      <c r="A34" s="465"/>
      <c r="C34" s="380"/>
      <c r="D34" s="322"/>
      <c r="E34" s="322"/>
      <c r="F34" s="464"/>
      <c r="G34" s="192"/>
      <c r="H34" s="192"/>
      <c r="S34" s="457"/>
      <c r="T34" s="380"/>
    </row>
    <row r="35" spans="1:28" s="448" customFormat="1" ht="15.75">
      <c r="A35" s="465"/>
      <c r="B35" s="867" t="s">
        <v>908</v>
      </c>
      <c r="C35" s="380"/>
      <c r="D35" s="322"/>
      <c r="E35" s="322"/>
      <c r="F35" s="464"/>
      <c r="G35" s="192"/>
      <c r="H35" s="192"/>
      <c r="R35" s="864" t="s">
        <v>285</v>
      </c>
      <c r="S35" s="457"/>
      <c r="T35" s="380"/>
    </row>
    <row r="36" spans="1:28" s="205" customFormat="1">
      <c r="C36" s="323"/>
      <c r="D36" s="322" t="s">
        <v>200</v>
      </c>
      <c r="E36" s="322"/>
      <c r="F36" s="322" t="s">
        <v>200</v>
      </c>
      <c r="G36" s="193" t="s">
        <v>254</v>
      </c>
      <c r="H36" s="193" t="s">
        <v>200</v>
      </c>
      <c r="I36" s="205" t="s">
        <v>280</v>
      </c>
      <c r="J36" s="448"/>
      <c r="K36" s="448" t="s">
        <v>644</v>
      </c>
      <c r="L36" s="205" t="s">
        <v>713</v>
      </c>
      <c r="M36" s="500" t="s">
        <v>911</v>
      </c>
      <c r="N36" s="500"/>
      <c r="O36" s="312" t="s">
        <v>285</v>
      </c>
      <c r="P36" s="404"/>
      <c r="R36" s="864" t="s">
        <v>263</v>
      </c>
      <c r="S36" s="448"/>
      <c r="T36" s="448"/>
      <c r="U36" s="448"/>
      <c r="V36" s="448"/>
      <c r="W36" s="448"/>
      <c r="X36" s="448"/>
      <c r="Y36" s="448"/>
      <c r="Z36" s="448"/>
      <c r="AA36" s="448"/>
    </row>
    <row r="37" spans="1:28" s="205" customFormat="1">
      <c r="C37" s="323"/>
      <c r="D37" s="205" t="s">
        <v>83</v>
      </c>
      <c r="E37" s="322"/>
      <c r="F37" s="205" t="s">
        <v>83</v>
      </c>
      <c r="G37" s="191" t="s">
        <v>256</v>
      </c>
      <c r="H37" s="192" t="s">
        <v>285</v>
      </c>
      <c r="I37" s="205" t="s">
        <v>83</v>
      </c>
      <c r="J37" s="448" t="s">
        <v>664</v>
      </c>
      <c r="K37" s="448" t="s">
        <v>83</v>
      </c>
      <c r="L37" s="322" t="s">
        <v>246</v>
      </c>
      <c r="M37" s="322" t="s">
        <v>912</v>
      </c>
      <c r="N37" s="538" t="s">
        <v>64</v>
      </c>
      <c r="O37" s="312" t="s">
        <v>930</v>
      </c>
      <c r="P37" s="205" t="s">
        <v>476</v>
      </c>
      <c r="Q37" s="205" t="s">
        <v>487</v>
      </c>
      <c r="R37" s="864" t="s">
        <v>287</v>
      </c>
      <c r="S37" s="448"/>
      <c r="T37" s="448"/>
      <c r="U37" s="448"/>
      <c r="V37" s="448"/>
      <c r="W37" s="448"/>
      <c r="X37" s="448"/>
      <c r="Y37" s="448"/>
      <c r="Z37" s="448"/>
      <c r="AA37" s="448"/>
    </row>
    <row r="38" spans="1:28" s="205" customFormat="1">
      <c r="B38" s="205" t="s">
        <v>258</v>
      </c>
      <c r="C38" s="205" t="s">
        <v>281</v>
      </c>
      <c r="D38" s="322" t="s">
        <v>282</v>
      </c>
      <c r="E38" s="322" t="s">
        <v>283</v>
      </c>
      <c r="F38" s="322" t="s">
        <v>284</v>
      </c>
      <c r="G38" s="192" t="s">
        <v>285</v>
      </c>
      <c r="H38" s="192" t="s">
        <v>670</v>
      </c>
      <c r="I38" s="205" t="s">
        <v>286</v>
      </c>
      <c r="J38" s="448" t="s">
        <v>643</v>
      </c>
      <c r="K38" s="448" t="s">
        <v>286</v>
      </c>
      <c r="L38" s="322" t="s">
        <v>283</v>
      </c>
      <c r="M38" s="322" t="s">
        <v>295</v>
      </c>
      <c r="N38" s="538" t="s">
        <v>712</v>
      </c>
      <c r="O38" s="312" t="s">
        <v>931</v>
      </c>
      <c r="P38" s="205" t="s">
        <v>477</v>
      </c>
      <c r="Q38" s="205" t="s">
        <v>486</v>
      </c>
      <c r="R38" s="191" t="s">
        <v>922</v>
      </c>
      <c r="S38" s="448"/>
      <c r="T38" s="448"/>
      <c r="U38" s="448"/>
      <c r="V38" s="448"/>
      <c r="W38" s="448"/>
      <c r="X38" s="448"/>
      <c r="Y38" s="448"/>
      <c r="Z38" s="448"/>
      <c r="AA38" s="448"/>
    </row>
    <row r="39" spans="1:28" s="309" customFormat="1">
      <c r="A39" s="309" t="s">
        <v>260</v>
      </c>
      <c r="B39" s="309" t="s">
        <v>261</v>
      </c>
      <c r="C39" s="309" t="s">
        <v>262</v>
      </c>
      <c r="D39" s="325" t="s">
        <v>288</v>
      </c>
      <c r="E39" s="325" t="s">
        <v>263</v>
      </c>
      <c r="F39" s="325" t="s">
        <v>288</v>
      </c>
      <c r="G39" s="194" t="s">
        <v>263</v>
      </c>
      <c r="H39" s="194" t="s">
        <v>782</v>
      </c>
      <c r="I39" s="309" t="s">
        <v>400</v>
      </c>
      <c r="J39" s="309" t="s">
        <v>670</v>
      </c>
      <c r="K39" s="309" t="s">
        <v>400</v>
      </c>
      <c r="L39" s="325" t="s">
        <v>263</v>
      </c>
      <c r="M39" s="325" t="s">
        <v>645</v>
      </c>
      <c r="N39" s="539" t="s">
        <v>414</v>
      </c>
      <c r="O39" s="195" t="s">
        <v>83</v>
      </c>
      <c r="P39" s="309" t="s">
        <v>373</v>
      </c>
      <c r="Q39" s="309" t="s">
        <v>263</v>
      </c>
      <c r="R39" s="195" t="s">
        <v>923</v>
      </c>
      <c r="S39" s="448"/>
      <c r="T39" s="448"/>
      <c r="U39" s="448"/>
      <c r="V39" s="448"/>
      <c r="W39" s="448"/>
      <c r="X39" s="448"/>
      <c r="Y39" s="448"/>
      <c r="Z39" s="448"/>
      <c r="AA39" s="448"/>
      <c r="AB39" s="205"/>
    </row>
    <row r="40" spans="1:28" s="205" customFormat="1">
      <c r="B40" s="205" t="s">
        <v>264</v>
      </c>
      <c r="C40" s="205" t="s">
        <v>265</v>
      </c>
      <c r="D40" s="322" t="s">
        <v>266</v>
      </c>
      <c r="E40" s="448" t="s">
        <v>267</v>
      </c>
      <c r="F40" s="205" t="s">
        <v>268</v>
      </c>
      <c r="G40" s="192" t="s">
        <v>269</v>
      </c>
      <c r="H40" s="448" t="s">
        <v>290</v>
      </c>
      <c r="I40" s="205" t="s">
        <v>270</v>
      </c>
      <c r="J40" s="448" t="s">
        <v>289</v>
      </c>
      <c r="K40" s="448" t="s">
        <v>289</v>
      </c>
      <c r="L40" s="205" t="s">
        <v>290</v>
      </c>
      <c r="M40" s="448" t="s">
        <v>388</v>
      </c>
      <c r="N40" s="457" t="s">
        <v>342</v>
      </c>
      <c r="O40" s="337" t="s">
        <v>388</v>
      </c>
      <c r="P40" s="205" t="s">
        <v>342</v>
      </c>
      <c r="Q40" s="205" t="s">
        <v>388</v>
      </c>
      <c r="R40" s="864" t="s">
        <v>924</v>
      </c>
      <c r="S40" s="448"/>
      <c r="T40" s="448"/>
      <c r="U40" s="448"/>
      <c r="V40" s="448"/>
      <c r="W40" s="448"/>
      <c r="X40" s="448"/>
      <c r="Y40" s="448"/>
      <c r="Z40" s="448"/>
      <c r="AA40" s="448"/>
    </row>
    <row r="41" spans="1:28">
      <c r="D41" s="326" t="str">
        <f>IF(Base1_Billing2&lt;&gt;1,"ERROR","")</f>
        <v/>
      </c>
      <c r="E41" s="196"/>
      <c r="I41" s="494"/>
      <c r="N41" s="108"/>
      <c r="R41" s="380"/>
      <c r="S41" s="448"/>
      <c r="T41" s="448"/>
      <c r="U41" s="448"/>
      <c r="V41" s="448"/>
      <c r="W41" s="448"/>
      <c r="X41" s="448"/>
      <c r="Y41" s="448"/>
      <c r="Z41" s="448"/>
      <c r="AA41" s="448"/>
    </row>
    <row r="42" spans="1:28">
      <c r="A42" s="205">
        <v>1</v>
      </c>
      <c r="B42" s="43" t="s">
        <v>271</v>
      </c>
      <c r="C42" s="358" t="s">
        <v>901</v>
      </c>
      <c r="D42" s="490">
        <f ca="1">'Pres &amp; Prop Rev'!$D$152/1000</f>
        <v>309184.26929999999</v>
      </c>
      <c r="E42" s="490">
        <f ca="1">'Pres &amp; Prop Rev'!D207/1000</f>
        <v>47734.78469</v>
      </c>
      <c r="F42" s="322">
        <f ca="1">D42+E42</f>
        <v>356919.05398999999</v>
      </c>
      <c r="G42" s="305">
        <f ca="1">E42/D42</f>
        <v>0.15438943513546988</v>
      </c>
      <c r="H42" s="305">
        <f ca="1">E42/F42</f>
        <v>0.13374120590193375</v>
      </c>
      <c r="I42" s="322">
        <f>I14+N14</f>
        <v>316945.38373</v>
      </c>
      <c r="J42" s="310">
        <v>0</v>
      </c>
      <c r="K42" s="490">
        <f>I42+J42</f>
        <v>316945.38373</v>
      </c>
      <c r="L42" s="310">
        <f ca="1">E42</f>
        <v>47734.78469</v>
      </c>
      <c r="M42" s="310">
        <f>-Colstrip!L15</f>
        <v>-16918.70856051951</v>
      </c>
      <c r="N42" s="540">
        <f ca="1">L42+M42</f>
        <v>30816.076129480491</v>
      </c>
      <c r="O42" s="306">
        <f ca="1">(L42)/I42</f>
        <v>0.15060886556613928</v>
      </c>
      <c r="P42" s="330" t="e">
        <f>#REF!/1000</f>
        <v>#REF!</v>
      </c>
      <c r="Q42" s="327">
        <f>('Pres &amp; Prop Rev'!D23*(0))/1000</f>
        <v>0</v>
      </c>
      <c r="R42" s="306">
        <f ca="1">N42/I42</f>
        <v>9.7228348199360881E-2</v>
      </c>
      <c r="S42" s="448"/>
      <c r="T42" s="448"/>
      <c r="U42" s="448"/>
      <c r="V42" s="448"/>
      <c r="W42" s="448"/>
      <c r="X42" s="448"/>
      <c r="Y42" s="448"/>
      <c r="Z42" s="448"/>
      <c r="AA42" s="448"/>
      <c r="AB42" s="414"/>
    </row>
    <row r="43" spans="1:28">
      <c r="D43" s="490"/>
      <c r="E43" s="490"/>
      <c r="F43" s="322"/>
      <c r="G43" s="305"/>
      <c r="H43" s="305"/>
      <c r="I43" s="322"/>
      <c r="J43" s="310"/>
      <c r="K43" s="490"/>
      <c r="L43" s="310"/>
      <c r="M43" s="310"/>
      <c r="N43" s="540"/>
      <c r="O43" s="306"/>
      <c r="P43" s="330"/>
      <c r="Q43" s="327"/>
      <c r="R43" s="306"/>
      <c r="S43" s="448"/>
      <c r="T43" s="448"/>
      <c r="U43" s="448"/>
      <c r="V43" s="448"/>
      <c r="W43" s="448"/>
      <c r="X43" s="448"/>
      <c r="Y43" s="448"/>
      <c r="Z43" s="448"/>
      <c r="AA43" s="448"/>
      <c r="AB43" s="414"/>
    </row>
    <row r="44" spans="1:28">
      <c r="A44" s="205">
        <v>2</v>
      </c>
      <c r="B44" s="43" t="s">
        <v>272</v>
      </c>
      <c r="C44" s="358" t="s">
        <v>418</v>
      </c>
      <c r="D44" s="490">
        <f ca="1">'Pres &amp; Prop Rev'!$E$152/1000+0.4</f>
        <v>94546.399391428567</v>
      </c>
      <c r="E44" s="490">
        <f ca="1">'Pres &amp; Prop Rev'!E207/1000</f>
        <v>7751.4726385714112</v>
      </c>
      <c r="F44" s="322">
        <f ca="1">D44+E44</f>
        <v>102297.87202999998</v>
      </c>
      <c r="G44" s="305">
        <f ca="1">E44/D44</f>
        <v>8.1985910499666775E-2</v>
      </c>
      <c r="H44" s="305">
        <f ca="1">E44/F44</f>
        <v>7.5773547237602421E-2</v>
      </c>
      <c r="I44" s="322">
        <f t="shared" ref="I44:I58" si="0">I16+N16</f>
        <v>107143.91402999984</v>
      </c>
      <c r="J44" s="310">
        <v>0</v>
      </c>
      <c r="K44" s="490">
        <f t="shared" ref="K44:K60" si="1">I44+J44</f>
        <v>107143.91402999984</v>
      </c>
      <c r="L44" s="310">
        <f ca="1">E44</f>
        <v>7751.4726385714112</v>
      </c>
      <c r="M44" s="310">
        <f>-Colstrip!L17</f>
        <v>-2188.9695778015425</v>
      </c>
      <c r="N44" s="540">
        <f ca="1">L44+M44</f>
        <v>5562.5030607698682</v>
      </c>
      <c r="O44" s="306">
        <f t="shared" ref="O44:O60" ca="1" si="2">(L44)/I44</f>
        <v>7.2346364315205358E-2</v>
      </c>
      <c r="P44" s="330" t="e">
        <f>#REF!/1000</f>
        <v>#REF!</v>
      </c>
      <c r="Q44" s="327">
        <f>('Pres &amp; Prop Rev'!E23*(0))/1000</f>
        <v>0</v>
      </c>
      <c r="R44" s="306">
        <f t="shared" ref="R44:R60" ca="1" si="3">N44/I44</f>
        <v>5.1916183118085373E-2</v>
      </c>
      <c r="S44" s="448"/>
      <c r="T44" s="448"/>
      <c r="U44" s="448"/>
      <c r="V44" s="448"/>
      <c r="W44" s="448"/>
      <c r="X44" s="448"/>
      <c r="Y44" s="448"/>
      <c r="Z44" s="448"/>
      <c r="AA44" s="448"/>
      <c r="AB44" s="414"/>
    </row>
    <row r="45" spans="1:28" s="380" customFormat="1">
      <c r="A45" s="448"/>
      <c r="C45" s="358"/>
      <c r="D45" s="490"/>
      <c r="E45" s="490"/>
      <c r="F45" s="322"/>
      <c r="G45" s="305"/>
      <c r="H45" s="305"/>
      <c r="I45" s="322"/>
      <c r="J45" s="310"/>
      <c r="K45" s="490"/>
      <c r="L45" s="310"/>
      <c r="M45" s="310"/>
      <c r="N45" s="540"/>
      <c r="O45" s="306"/>
      <c r="P45" s="330"/>
      <c r="Q45" s="327"/>
      <c r="R45" s="306"/>
      <c r="S45" s="448"/>
      <c r="T45" s="448"/>
      <c r="U45" s="448"/>
      <c r="V45" s="448"/>
      <c r="W45" s="448"/>
      <c r="X45" s="448"/>
      <c r="Y45" s="448"/>
      <c r="Z45" s="448"/>
      <c r="AA45" s="448"/>
      <c r="AB45" s="414"/>
    </row>
    <row r="46" spans="1:28" s="380" customFormat="1">
      <c r="A46" s="448">
        <v>3</v>
      </c>
      <c r="B46" s="380" t="s">
        <v>767</v>
      </c>
      <c r="C46" s="359">
        <v>13</v>
      </c>
      <c r="D46" s="490">
        <f ca="1">'Pres &amp; Prop Rev'!$F$152/1000-0.1</f>
        <v>51.614339999999999</v>
      </c>
      <c r="E46" s="490">
        <f ca="1">'Pres &amp; Prop Rev'!F207/1000</f>
        <v>5.6548000000000025</v>
      </c>
      <c r="F46" s="322">
        <f ca="1">D46+E46-0.3</f>
        <v>56.969140000000003</v>
      </c>
      <c r="G46" s="305">
        <f t="shared" ref="G46" ca="1" si="4">E46/D46</f>
        <v>0.10955870015968436</v>
      </c>
      <c r="H46" s="305">
        <f ca="1">IF(F46=0,H44,E46/F46)</f>
        <v>9.926075766634361E-2</v>
      </c>
      <c r="I46" s="322">
        <f t="shared" si="0"/>
        <v>58.752369999999999</v>
      </c>
      <c r="J46" s="310">
        <v>0</v>
      </c>
      <c r="K46" s="490">
        <f t="shared" ref="K46" si="5">I46+J46</f>
        <v>58.752369999999999</v>
      </c>
      <c r="L46" s="310">
        <f ca="1">E46</f>
        <v>5.6548000000000025</v>
      </c>
      <c r="M46" s="310">
        <f>-Colstrip!L19</f>
        <v>-1.1970941050999999</v>
      </c>
      <c r="N46" s="540">
        <f ca="1">L46+M46</f>
        <v>4.4577058949000028</v>
      </c>
      <c r="O46" s="306">
        <f t="shared" ca="1" si="2"/>
        <v>9.6248032207041229E-2</v>
      </c>
      <c r="P46" s="330" t="e">
        <f>#REF!/1000</f>
        <v>#REF!</v>
      </c>
      <c r="Q46" s="327">
        <f>('Pres &amp; Prop Rev'!G21*(0))/1000</f>
        <v>0</v>
      </c>
      <c r="R46" s="306">
        <f t="shared" ca="1" si="3"/>
        <v>7.5872784279170408E-2</v>
      </c>
      <c r="S46" s="448"/>
      <c r="T46" s="448"/>
      <c r="U46" s="448"/>
      <c r="V46" s="448"/>
      <c r="W46" s="448"/>
      <c r="X46" s="448"/>
      <c r="Y46" s="448"/>
      <c r="Z46" s="448"/>
      <c r="AA46" s="448"/>
      <c r="AB46" s="414"/>
    </row>
    <row r="47" spans="1:28">
      <c r="D47" s="490"/>
      <c r="E47" s="490"/>
      <c r="F47" s="322"/>
      <c r="G47" s="305"/>
      <c r="H47" s="305"/>
      <c r="I47" s="322"/>
      <c r="J47" s="310"/>
      <c r="K47" s="490"/>
      <c r="L47" s="310"/>
      <c r="M47" s="310"/>
      <c r="N47" s="540"/>
      <c r="O47" s="306"/>
      <c r="P47" s="330"/>
      <c r="Q47" s="327"/>
      <c r="R47" s="306"/>
      <c r="S47" s="448"/>
      <c r="T47" s="448"/>
      <c r="U47" s="448"/>
      <c r="V47" s="448"/>
      <c r="W47" s="448"/>
      <c r="X47" s="448"/>
      <c r="Y47" s="448"/>
      <c r="Z47" s="448"/>
      <c r="AA47" s="448"/>
      <c r="AB47" s="414"/>
    </row>
    <row r="48" spans="1:28">
      <c r="A48" s="205">
        <v>4</v>
      </c>
      <c r="B48" s="43" t="s">
        <v>273</v>
      </c>
      <c r="C48" s="359" t="s">
        <v>419</v>
      </c>
      <c r="D48" s="490">
        <f ca="1">'Pres &amp; Prop Rev'!$G$152/1000</f>
        <v>137261.87918028573</v>
      </c>
      <c r="E48" s="490">
        <f ca="1">'Pres &amp; Prop Rev'!G207/1000</f>
        <v>7504.5609597142638</v>
      </c>
      <c r="F48" s="322">
        <f ca="1">D48+E48</f>
        <v>144766.44013999999</v>
      </c>
      <c r="G48" s="305">
        <f ca="1">E48/D48</f>
        <v>5.4673307727759191E-2</v>
      </c>
      <c r="H48" s="305">
        <f ca="1">E48/F48</f>
        <v>5.1839093041569521E-2</v>
      </c>
      <c r="I48" s="322">
        <f t="shared" si="0"/>
        <v>158449.03737999956</v>
      </c>
      <c r="J48" s="310">
        <v>0</v>
      </c>
      <c r="K48" s="490">
        <f t="shared" si="1"/>
        <v>158449.03737999956</v>
      </c>
      <c r="L48" s="310">
        <f ca="1">E48</f>
        <v>7504.5609597142638</v>
      </c>
      <c r="M48" s="310">
        <f>-Colstrip!L21</f>
        <v>-3248.3307373564812</v>
      </c>
      <c r="N48" s="540">
        <f ca="1">L48+M48</f>
        <v>4256.2302223577826</v>
      </c>
      <c r="O48" s="306">
        <f t="shared" ca="1" si="2"/>
        <v>4.7362616294831066E-2</v>
      </c>
      <c r="P48" s="330" t="e">
        <f>#REF!/1000</f>
        <v>#REF!</v>
      </c>
      <c r="Q48" s="327">
        <f>('Pres &amp; Prop Rev'!G23*(0))/1000</f>
        <v>0</v>
      </c>
      <c r="R48" s="306">
        <f t="shared" ca="1" si="3"/>
        <v>2.6861824424659023E-2</v>
      </c>
      <c r="S48" s="448"/>
      <c r="T48" s="448"/>
      <c r="U48" s="448"/>
      <c r="V48" s="448"/>
      <c r="W48" s="448"/>
      <c r="X48" s="448"/>
      <c r="Y48" s="448"/>
      <c r="Z48" s="448"/>
      <c r="AA48" s="448"/>
      <c r="AB48" s="414"/>
    </row>
    <row r="49" spans="1:28" s="380" customFormat="1">
      <c r="A49" s="448"/>
      <c r="C49" s="359"/>
      <c r="D49" s="490"/>
      <c r="E49" s="490"/>
      <c r="F49" s="322"/>
      <c r="G49" s="305"/>
      <c r="H49" s="305"/>
      <c r="I49" s="322"/>
      <c r="J49" s="310"/>
      <c r="K49" s="490"/>
      <c r="L49" s="310"/>
      <c r="M49" s="310"/>
      <c r="N49" s="540"/>
      <c r="O49" s="306"/>
      <c r="P49" s="330"/>
      <c r="Q49" s="327"/>
      <c r="R49" s="306"/>
      <c r="S49" s="173"/>
      <c r="W49" s="173"/>
      <c r="X49" s="327"/>
      <c r="Z49" s="414"/>
      <c r="AA49" s="414"/>
      <c r="AB49" s="414"/>
    </row>
    <row r="50" spans="1:28" s="380" customFormat="1">
      <c r="A50" s="448">
        <v>5</v>
      </c>
      <c r="B50" s="380" t="s">
        <v>766</v>
      </c>
      <c r="C50" s="359">
        <v>23</v>
      </c>
      <c r="D50" s="490">
        <f ca="1">'Pres &amp; Prop Rev'!$H$152/1000-0.4</f>
        <v>68.724139999999991</v>
      </c>
      <c r="E50" s="490">
        <f ca="1">'Pres &amp; Prop Rev'!H207/1000-0.019</f>
        <v>7.538229999999996</v>
      </c>
      <c r="F50" s="322">
        <f ca="1">D50+E50</f>
        <v>76.26236999999999</v>
      </c>
      <c r="G50" s="305">
        <f t="shared" ref="G50" ca="1" si="6">E50/D50</f>
        <v>0.10968824055128222</v>
      </c>
      <c r="H50" s="305">
        <f ca="1">IF(F50=0,H48,E50/F50)</f>
        <v>9.8845997049396672E-2</v>
      </c>
      <c r="I50" s="322">
        <f t="shared" si="0"/>
        <v>76.621409999999997</v>
      </c>
      <c r="J50" s="310">
        <v>0</v>
      </c>
      <c r="K50" s="490">
        <f t="shared" ref="K50" si="7">I50+J50</f>
        <v>76.621409999999997</v>
      </c>
      <c r="L50" s="310">
        <f ca="1">E50</f>
        <v>7.538229999999996</v>
      </c>
      <c r="M50" s="310">
        <f>-Colstrip!L23</f>
        <v>-1.1426578778999998</v>
      </c>
      <c r="N50" s="540">
        <f ca="1">L50+M50</f>
        <v>6.3955721220999964</v>
      </c>
      <c r="O50" s="306">
        <f t="shared" ca="1" si="2"/>
        <v>9.8382814933841545E-2</v>
      </c>
      <c r="P50" s="330" t="e">
        <f>#REF!/1000</f>
        <v>#REF!</v>
      </c>
      <c r="Q50" s="327">
        <f>('Pres &amp; Prop Rev'!G25*(0))/1000</f>
        <v>0</v>
      </c>
      <c r="R50" s="306">
        <f t="shared" ca="1" si="3"/>
        <v>8.3469778513603404E-2</v>
      </c>
      <c r="S50" s="173"/>
      <c r="W50" s="173"/>
      <c r="X50" s="327"/>
      <c r="Z50" s="414"/>
      <c r="AA50" s="414"/>
      <c r="AB50" s="414"/>
    </row>
    <row r="51" spans="1:28">
      <c r="D51" s="490"/>
      <c r="E51" s="490"/>
      <c r="F51" s="322"/>
      <c r="G51" s="305"/>
      <c r="H51" s="305"/>
      <c r="I51" s="322"/>
      <c r="J51" s="310"/>
      <c r="K51" s="490"/>
      <c r="L51" s="310"/>
      <c r="M51" s="310"/>
      <c r="N51" s="540"/>
      <c r="O51" s="306"/>
      <c r="P51" s="330"/>
      <c r="Q51" s="327"/>
      <c r="R51" s="306"/>
      <c r="S51" s="173"/>
      <c r="X51" s="327"/>
      <c r="Z51" s="414"/>
      <c r="AA51" s="414"/>
      <c r="AB51" s="414"/>
    </row>
    <row r="52" spans="1:28">
      <c r="A52" s="205">
        <v>6</v>
      </c>
      <c r="B52" s="43" t="s">
        <v>291</v>
      </c>
      <c r="C52" s="205">
        <v>25</v>
      </c>
      <c r="D52" s="490">
        <f ca="1">'Pres &amp; Prop Rev'!$I$152/1000</f>
        <v>47978.433408150006</v>
      </c>
      <c r="E52" s="490">
        <f ca="1">'Pres &amp; Prop Rev'!I207/1000</f>
        <v>2626.7683008499966</v>
      </c>
      <c r="F52" s="322">
        <f ca="1">D52+E52</f>
        <v>50605.201709000001</v>
      </c>
      <c r="G52" s="305">
        <f ca="1">E52/D52</f>
        <v>5.4748938517942367E-2</v>
      </c>
      <c r="H52" s="305">
        <f ca="1">E52/F52</f>
        <v>5.1907080935176528E-2</v>
      </c>
      <c r="I52" s="322">
        <f t="shared" si="0"/>
        <v>54152.110989000001</v>
      </c>
      <c r="J52" s="310">
        <v>0</v>
      </c>
      <c r="K52" s="490">
        <f t="shared" si="1"/>
        <v>54152.110989000001</v>
      </c>
      <c r="L52" s="310">
        <f ca="1">E52</f>
        <v>2626.7683008499966</v>
      </c>
      <c r="M52" s="310">
        <f>-Colstrip!L25</f>
        <v>-577.61738727364002</v>
      </c>
      <c r="N52" s="540">
        <f ca="1">L52+M52</f>
        <v>2049.1509135763567</v>
      </c>
      <c r="O52" s="306">
        <f t="shared" ca="1" si="2"/>
        <v>4.8507218885401826E-2</v>
      </c>
      <c r="P52" s="330" t="e">
        <f>#REF!/1000</f>
        <v>#REF!</v>
      </c>
      <c r="Q52" s="327">
        <f>('Pres &amp; Prop Rev'!I23*(0))/1000</f>
        <v>0</v>
      </c>
      <c r="R52" s="306">
        <f t="shared" ca="1" si="3"/>
        <v>3.7840646950819769E-2</v>
      </c>
      <c r="S52" s="173"/>
      <c r="W52" s="173"/>
      <c r="X52" s="327"/>
      <c r="Z52" s="414"/>
      <c r="AA52" s="414"/>
      <c r="AB52" s="414"/>
    </row>
    <row r="53" spans="1:28" s="380" customFormat="1">
      <c r="A53" s="448"/>
      <c r="C53" s="448"/>
      <c r="D53" s="490"/>
      <c r="E53" s="490"/>
      <c r="F53" s="322"/>
      <c r="G53" s="305"/>
      <c r="H53" s="305"/>
      <c r="I53" s="322"/>
      <c r="J53" s="310"/>
      <c r="K53" s="490"/>
      <c r="L53" s="310"/>
      <c r="M53" s="310"/>
      <c r="N53" s="540"/>
      <c r="O53" s="306"/>
      <c r="P53" s="330"/>
      <c r="Q53" s="327"/>
      <c r="R53" s="306"/>
      <c r="S53" s="173"/>
      <c r="W53" s="173"/>
      <c r="X53" s="327"/>
      <c r="Z53" s="414"/>
      <c r="AA53" s="414"/>
      <c r="AB53" s="414"/>
    </row>
    <row r="54" spans="1:28" s="380" customFormat="1">
      <c r="A54" s="448">
        <v>7</v>
      </c>
      <c r="B54" s="380" t="s">
        <v>788</v>
      </c>
      <c r="C54" s="448" t="s">
        <v>753</v>
      </c>
      <c r="D54" s="490">
        <f ca="1">'Pres &amp; Prop Rev'!$J$152/1000+0.2</f>
        <v>21853.246518399999</v>
      </c>
      <c r="E54" s="490">
        <f ca="1">'Pres &amp; Prop Rev'!J207/1000</f>
        <v>1169.7076000000015</v>
      </c>
      <c r="F54" s="322">
        <f ca="1">D54+E54+0.3</f>
        <v>23023.2541184</v>
      </c>
      <c r="G54" s="305">
        <f ca="1">E54/D54</f>
        <v>5.3525575662871465E-2</v>
      </c>
      <c r="H54" s="305">
        <f ca="1">E54/F54</f>
        <v>5.0805485357744484E-2</v>
      </c>
      <c r="I54" s="322">
        <f t="shared" si="0"/>
        <v>24640.376848399996</v>
      </c>
      <c r="J54" s="310">
        <v>0</v>
      </c>
      <c r="K54" s="490">
        <f t="shared" ref="K54" si="8">I54+J54</f>
        <v>24640.376848399996</v>
      </c>
      <c r="L54" s="310">
        <f ca="1">E54</f>
        <v>1169.7076000000015</v>
      </c>
      <c r="M54" s="310">
        <f>-Colstrip!L27</f>
        <v>-253.57505688000001</v>
      </c>
      <c r="N54" s="540">
        <f ca="1">L54+M54</f>
        <v>916.13254312000151</v>
      </c>
      <c r="O54" s="306">
        <f t="shared" ca="1" si="2"/>
        <v>4.7471173318355951E-2</v>
      </c>
      <c r="P54" s="330" t="e">
        <f>#REF!/1000</f>
        <v>#REF!</v>
      </c>
      <c r="Q54" s="327">
        <f>('Pres &amp; Prop Rev'!I25*(0))/1000</f>
        <v>0</v>
      </c>
      <c r="R54" s="306">
        <f t="shared" ca="1" si="3"/>
        <v>3.7180135221003725E-2</v>
      </c>
      <c r="S54" s="173"/>
      <c r="W54" s="173"/>
      <c r="X54" s="327"/>
      <c r="Z54" s="414"/>
      <c r="AA54" s="414"/>
      <c r="AB54" s="414"/>
    </row>
    <row r="55" spans="1:28">
      <c r="D55" s="490"/>
      <c r="E55" s="490"/>
      <c r="F55" s="322"/>
      <c r="G55" s="305"/>
      <c r="H55" s="305"/>
      <c r="I55" s="322"/>
      <c r="J55" s="310"/>
      <c r="K55" s="490"/>
      <c r="L55" s="310"/>
      <c r="M55" s="310"/>
      <c r="N55" s="540"/>
      <c r="O55" s="306"/>
      <c r="P55" s="330"/>
      <c r="Q55" s="327"/>
      <c r="R55" s="306"/>
      <c r="S55" s="173"/>
      <c r="X55" s="327"/>
      <c r="Z55" s="414"/>
      <c r="AA55" s="414"/>
      <c r="AB55" s="414"/>
    </row>
    <row r="56" spans="1:28">
      <c r="A56" s="205">
        <v>8</v>
      </c>
      <c r="B56" s="43" t="s">
        <v>274</v>
      </c>
      <c r="C56" s="359" t="s">
        <v>420</v>
      </c>
      <c r="D56" s="490">
        <f ca="1">'Pres &amp; Prop Rev'!$K$152/1000</f>
        <v>14564.411460000001</v>
      </c>
      <c r="E56" s="490">
        <f ca="1">'Pres &amp; Prop Rev'!K207/1000</f>
        <v>1593.8910599999986</v>
      </c>
      <c r="F56" s="322">
        <f ca="1">D56+E56+0.1</f>
        <v>16158.40252</v>
      </c>
      <c r="G56" s="305">
        <f ca="1">E56/D56</f>
        <v>0.10943738196201705</v>
      </c>
      <c r="H56" s="305">
        <f ca="1">E56/F56</f>
        <v>9.8641623639909096E-2</v>
      </c>
      <c r="I56" s="322">
        <f t="shared" si="0"/>
        <v>16761.510780000001</v>
      </c>
      <c r="J56" s="310">
        <v>0</v>
      </c>
      <c r="K56" s="490">
        <f t="shared" si="1"/>
        <v>16761.510780000001</v>
      </c>
      <c r="L56" s="310">
        <f ca="1">E56</f>
        <v>1593.8910599999986</v>
      </c>
      <c r="M56" s="310">
        <f>-Colstrip!L29</f>
        <v>-809.20529965184255</v>
      </c>
      <c r="N56" s="540">
        <f ca="1">L56+M56</f>
        <v>784.68576034815601</v>
      </c>
      <c r="O56" s="306">
        <f t="shared" ca="1" si="2"/>
        <v>9.5092326755046752E-2</v>
      </c>
      <c r="P56" s="330" t="e">
        <f>#REF!/1000</f>
        <v>#REF!</v>
      </c>
      <c r="Q56" s="327">
        <f>('Pres &amp; Prop Rev'!K23*(0))/1000</f>
        <v>0</v>
      </c>
      <c r="R56" s="306">
        <f t="shared" ca="1" si="3"/>
        <v>4.6814739473511585E-2</v>
      </c>
      <c r="S56" s="173"/>
      <c r="W56" s="173"/>
      <c r="X56" s="327"/>
      <c r="Z56" s="414"/>
      <c r="AA56" s="414"/>
      <c r="AB56" s="414"/>
    </row>
    <row r="57" spans="1:28">
      <c r="D57" s="490"/>
      <c r="E57" s="490"/>
      <c r="F57" s="322"/>
      <c r="G57" s="305"/>
      <c r="H57" s="305"/>
      <c r="I57" s="322"/>
      <c r="J57" s="310"/>
      <c r="K57" s="490"/>
      <c r="L57" s="310"/>
      <c r="M57" s="310"/>
      <c r="N57" s="540"/>
      <c r="O57" s="306"/>
      <c r="P57" s="330"/>
      <c r="Q57" s="327"/>
      <c r="R57" s="306"/>
      <c r="S57" s="173"/>
      <c r="X57" s="327"/>
      <c r="Z57" s="414"/>
      <c r="AA57" s="414"/>
      <c r="AB57" s="414"/>
    </row>
    <row r="58" spans="1:28">
      <c r="A58" s="205">
        <v>9</v>
      </c>
      <c r="B58" s="43" t="s">
        <v>275</v>
      </c>
      <c r="C58" s="205" t="s">
        <v>321</v>
      </c>
      <c r="D58" s="496">
        <f>'Pres &amp; Prop Rev'!$L$152/1000</f>
        <v>7946.3589623400012</v>
      </c>
      <c r="E58" s="496">
        <f>'Pres &amp; Prop Rev'!L207/1000</f>
        <v>869.16323999999838</v>
      </c>
      <c r="F58" s="328">
        <f>D58+E58</f>
        <v>8815.5222023400001</v>
      </c>
      <c r="G58" s="624">
        <f>E58/D58</f>
        <v>0.10937880406853051</v>
      </c>
      <c r="H58" s="305">
        <f>E58/F58</f>
        <v>9.8594640232349123E-2</v>
      </c>
      <c r="I58" s="858">
        <f t="shared" si="0"/>
        <v>8833.5135223399993</v>
      </c>
      <c r="J58" s="495">
        <v>0</v>
      </c>
      <c r="K58" s="496">
        <f>I58+J58</f>
        <v>8833.5135223399993</v>
      </c>
      <c r="L58" s="495">
        <f>E58</f>
        <v>869.16323999999838</v>
      </c>
      <c r="M58" s="495">
        <f>-Colstrip!L31</f>
        <v>-419.97080813462202</v>
      </c>
      <c r="N58" s="625">
        <f>L58+M58</f>
        <v>449.19243186537636</v>
      </c>
      <c r="O58" s="626">
        <f t="shared" si="2"/>
        <v>9.8393831378859639E-2</v>
      </c>
      <c r="P58" s="405" t="e">
        <f>#REF!/1000</f>
        <v>#REF!</v>
      </c>
      <c r="Q58" s="329">
        <f>('Pres &amp; Prop Rev'!L23*(0))/1000</f>
        <v>0</v>
      </c>
      <c r="R58" s="626">
        <f t="shared" si="3"/>
        <v>5.0850936122910376E-2</v>
      </c>
      <c r="S58" s="173"/>
      <c r="W58" s="173"/>
      <c r="X58" s="327"/>
      <c r="Z58" s="414"/>
      <c r="AA58" s="414"/>
      <c r="AB58" s="414"/>
    </row>
    <row r="59" spans="1:28">
      <c r="D59" s="322"/>
      <c r="E59" s="330"/>
      <c r="F59" s="322"/>
      <c r="G59" s="305"/>
      <c r="H59" s="330"/>
      <c r="I59" s="330"/>
      <c r="J59" s="310"/>
      <c r="K59" s="490"/>
      <c r="L59" s="310"/>
      <c r="M59" s="310"/>
      <c r="N59" s="540"/>
      <c r="O59" s="306"/>
      <c r="P59" s="330"/>
      <c r="Q59" s="331"/>
      <c r="R59" s="306"/>
      <c r="S59" s="173"/>
      <c r="Z59" s="414"/>
      <c r="AA59" s="414"/>
      <c r="AB59" s="414"/>
    </row>
    <row r="60" spans="1:28">
      <c r="A60" s="205">
        <v>10</v>
      </c>
      <c r="B60" s="332" t="s">
        <v>64</v>
      </c>
      <c r="D60" s="322">
        <f ca="1">SUM(D42:D58)</f>
        <v>633455.3367006043</v>
      </c>
      <c r="E60" s="322">
        <f ca="1">SUM(E42:E58)+0.2</f>
        <v>69263.741519135641</v>
      </c>
      <c r="F60" s="322">
        <f ca="1">SUM(F42:F58)+0.2</f>
        <v>702719.17821973993</v>
      </c>
      <c r="G60" s="305">
        <f ca="1">E60/D60</f>
        <v>0.109342738952837</v>
      </c>
      <c r="H60" s="305"/>
      <c r="I60" s="322">
        <f>SUM(I42:I58)</f>
        <v>687061.22105973936</v>
      </c>
      <c r="J60" s="310">
        <f>SUM(J42:J58)</f>
        <v>0</v>
      </c>
      <c r="K60" s="490">
        <f t="shared" si="1"/>
        <v>687061.22105973936</v>
      </c>
      <c r="L60" s="310">
        <f ca="1">E60</f>
        <v>69263.741519135641</v>
      </c>
      <c r="M60" s="310">
        <f>SUM(M42:M58)</f>
        <v>-24418.717179600637</v>
      </c>
      <c r="N60" s="540">
        <f ca="1">L60+M60</f>
        <v>44845.024339535004</v>
      </c>
      <c r="O60" s="306">
        <f t="shared" ca="1" si="2"/>
        <v>0.10081160076579729</v>
      </c>
      <c r="P60" s="330" t="e">
        <f>SUM(P42:P59)</f>
        <v>#REF!</v>
      </c>
      <c r="Q60" s="327">
        <f>SUM(Q42:Q58)</f>
        <v>0</v>
      </c>
      <c r="R60" s="306">
        <f t="shared" ca="1" si="3"/>
        <v>6.527078368702717E-2</v>
      </c>
      <c r="S60" s="173"/>
      <c r="W60" s="173"/>
      <c r="X60" s="327"/>
      <c r="Z60" s="414"/>
      <c r="AA60" s="414"/>
      <c r="AB60" s="414"/>
    </row>
    <row r="61" spans="1:28">
      <c r="B61" s="205"/>
      <c r="D61" s="333">
        <f ca="1">ROUND(D60-'Pres &amp; Prop Rev'!C205/1000,0)</f>
        <v>0</v>
      </c>
      <c r="E61" s="196"/>
      <c r="F61" s="333"/>
      <c r="I61" s="316"/>
      <c r="J61" s="316"/>
      <c r="K61" s="316"/>
      <c r="L61" s="316"/>
      <c r="M61" s="316"/>
      <c r="N61" s="316"/>
      <c r="Q61" s="316"/>
      <c r="R61" s="316"/>
      <c r="S61" s="316"/>
    </row>
    <row r="62" spans="1:28">
      <c r="B62" s="205"/>
      <c r="D62" s="833"/>
      <c r="E62" s="859"/>
      <c r="P62" s="414"/>
      <c r="Q62" s="414"/>
      <c r="R62" s="316"/>
      <c r="S62" s="108"/>
    </row>
    <row r="63" spans="1:28">
      <c r="A63" s="43"/>
    </row>
    <row r="65" spans="1:18">
      <c r="A65" s="380" t="s">
        <v>896</v>
      </c>
    </row>
    <row r="66" spans="1:18">
      <c r="A66" s="308" t="s">
        <v>904</v>
      </c>
    </row>
    <row r="67" spans="1:18" s="380" customFormat="1">
      <c r="A67" s="308"/>
      <c r="C67" s="205"/>
      <c r="D67" s="327"/>
      <c r="E67" s="327"/>
      <c r="F67" s="327"/>
      <c r="G67" s="196"/>
      <c r="H67" s="196"/>
      <c r="R67" s="108"/>
    </row>
    <row r="68" spans="1:18">
      <c r="A68" s="380" t="s">
        <v>897</v>
      </c>
    </row>
    <row r="69" spans="1:18">
      <c r="A69" s="308" t="s">
        <v>904</v>
      </c>
    </row>
    <row r="70" spans="1:18">
      <c r="H70" s="380"/>
      <c r="L70" s="380"/>
      <c r="N70" s="43"/>
      <c r="O70" s="108"/>
      <c r="P70" s="43"/>
      <c r="R70" s="43"/>
    </row>
    <row r="71" spans="1:18">
      <c r="H71" s="380"/>
      <c r="L71" s="414">
        <f ca="1">L60/I60</f>
        <v>0.10081160076579729</v>
      </c>
      <c r="M71" s="414">
        <f ca="1">M60/D60</f>
        <v>-3.8548443378482226E-2</v>
      </c>
      <c r="N71" s="43"/>
      <c r="O71" s="108"/>
      <c r="P71" s="43"/>
      <c r="R71" s="43"/>
    </row>
    <row r="72" spans="1:18">
      <c r="B72" s="76" t="s">
        <v>350</v>
      </c>
      <c r="F72" s="322"/>
      <c r="H72" s="322"/>
      <c r="I72" s="322"/>
      <c r="J72" s="322"/>
      <c r="K72" s="322"/>
      <c r="L72" s="497">
        <f>M60/I60</f>
        <v>-3.5540817078770118E-2</v>
      </c>
      <c r="M72" s="497">
        <f>M60/I60</f>
        <v>-3.5540817078770118E-2</v>
      </c>
      <c r="N72" s="43"/>
      <c r="O72" s="108"/>
      <c r="P72" s="43"/>
      <c r="R72" s="43"/>
    </row>
    <row r="73" spans="1:18">
      <c r="F73" s="322" t="s">
        <v>386</v>
      </c>
      <c r="G73" s="76"/>
      <c r="H73" s="322"/>
      <c r="I73" s="322" t="s">
        <v>413</v>
      </c>
      <c r="J73" s="322"/>
      <c r="K73" s="322"/>
      <c r="L73" s="322"/>
      <c r="M73" s="108"/>
      <c r="N73" s="43"/>
      <c r="P73" s="43"/>
      <c r="R73" s="43"/>
    </row>
    <row r="74" spans="1:18">
      <c r="F74" s="328" t="s">
        <v>412</v>
      </c>
      <c r="G74" s="76"/>
      <c r="H74" s="324"/>
      <c r="I74" s="328" t="s">
        <v>414</v>
      </c>
      <c r="J74" s="328"/>
      <c r="K74" s="328"/>
      <c r="L74" s="328"/>
      <c r="M74" s="108"/>
      <c r="N74" s="43"/>
      <c r="P74" s="43"/>
      <c r="R74" s="43"/>
    </row>
    <row r="75" spans="1:18">
      <c r="B75" s="289" t="s">
        <v>347</v>
      </c>
      <c r="F75" s="170">
        <f>'REVRUNS 12ME0623'!P119</f>
        <v>70430456.45397</v>
      </c>
      <c r="G75" s="43"/>
      <c r="H75" s="402"/>
      <c r="I75" s="58">
        <f>F75*-0.00386/1000</f>
        <v>-271.86156191232425</v>
      </c>
      <c r="J75" s="410"/>
      <c r="K75" s="410"/>
      <c r="L75" s="380" t="s">
        <v>781</v>
      </c>
      <c r="M75" s="108"/>
      <c r="N75" s="43"/>
      <c r="P75" s="43"/>
      <c r="R75" s="43"/>
    </row>
    <row r="76" spans="1:18">
      <c r="B76" s="289" t="s">
        <v>348</v>
      </c>
      <c r="F76" s="170">
        <f>'REVRUNS 12ME0623'!P164</f>
        <v>32667663.599999998</v>
      </c>
      <c r="G76" s="43"/>
      <c r="H76" s="402"/>
      <c r="I76" s="410">
        <f t="shared" ref="I76:I78" si="9">F76*-0.00386/1000</f>
        <v>-126.09718149599999</v>
      </c>
      <c r="J76" s="410"/>
      <c r="K76" s="410"/>
      <c r="L76" s="380" t="s">
        <v>781</v>
      </c>
      <c r="M76" s="108"/>
      <c r="N76" s="43"/>
      <c r="P76" s="43"/>
      <c r="R76" s="43"/>
    </row>
    <row r="77" spans="1:18">
      <c r="B77" s="289" t="s">
        <v>349</v>
      </c>
      <c r="F77" s="250">
        <f>'REVRUNS 12ME0623'!P249</f>
        <v>9090892.0460799988</v>
      </c>
      <c r="G77" s="320"/>
      <c r="H77" s="402"/>
      <c r="I77" s="410">
        <f t="shared" si="9"/>
        <v>-35.090843297868801</v>
      </c>
      <c r="J77" s="389"/>
      <c r="K77" s="389"/>
      <c r="L77" s="380" t="s">
        <v>781</v>
      </c>
      <c r="M77" s="108"/>
      <c r="N77" s="43"/>
      <c r="P77" s="43"/>
      <c r="R77" s="43"/>
    </row>
    <row r="78" spans="1:18" s="380" customFormat="1">
      <c r="A78" s="205"/>
      <c r="B78" s="289" t="s">
        <v>531</v>
      </c>
      <c r="C78" s="205"/>
      <c r="D78" s="327"/>
      <c r="E78" s="327"/>
      <c r="F78" s="250">
        <f>'REVRUNS 12ME0623'!P313</f>
        <v>2143510.44001</v>
      </c>
      <c r="H78" s="402"/>
      <c r="I78" s="410">
        <f t="shared" si="9"/>
        <v>-8.2739502984385993</v>
      </c>
      <c r="J78" s="389"/>
      <c r="K78" s="389"/>
      <c r="L78" s="389"/>
      <c r="M78" s="108"/>
      <c r="R78" s="380">
        <v>-3.8600000000000001E-3</v>
      </c>
    </row>
    <row r="79" spans="1:18">
      <c r="B79" s="289" t="s">
        <v>64</v>
      </c>
      <c r="C79" s="43"/>
      <c r="D79" s="43"/>
      <c r="E79" s="380"/>
      <c r="F79" s="47">
        <f>SUM(F75:F78)</f>
        <v>114332522.54005998</v>
      </c>
      <c r="H79" s="380"/>
      <c r="I79" s="353">
        <f>SUM(I75:I78)</f>
        <v>-441.32353700463165</v>
      </c>
      <c r="J79" s="353"/>
      <c r="K79" s="353"/>
      <c r="L79" s="380"/>
      <c r="P79" s="43"/>
      <c r="R79" s="43"/>
    </row>
    <row r="80" spans="1:18" s="380" customFormat="1">
      <c r="A80" s="448"/>
      <c r="B80" s="289"/>
      <c r="F80" s="47"/>
      <c r="G80" s="196"/>
      <c r="I80" s="353"/>
      <c r="J80" s="353"/>
      <c r="K80" s="353"/>
      <c r="L80" s="353"/>
    </row>
    <row r="81" spans="1:18" s="380" customFormat="1">
      <c r="A81" s="448"/>
      <c r="B81" s="289" t="s">
        <v>533</v>
      </c>
      <c r="F81" s="47"/>
      <c r="G81" s="196"/>
      <c r="H81" s="322"/>
      <c r="I81" s="353"/>
      <c r="J81" s="353"/>
      <c r="K81" s="353"/>
      <c r="L81" s="353"/>
    </row>
    <row r="82" spans="1:18" s="380" customFormat="1">
      <c r="A82" s="448"/>
      <c r="B82" s="289" t="s">
        <v>532</v>
      </c>
      <c r="C82" s="448"/>
      <c r="D82" s="327"/>
      <c r="E82" s="327"/>
      <c r="F82" s="170">
        <f>'REVRUNS 12ME0623'!P343</f>
        <v>16029420.157809999</v>
      </c>
      <c r="H82" s="402"/>
      <c r="I82" s="389">
        <f>F82*R82/1000</f>
        <v>-2.8852956284058</v>
      </c>
      <c r="J82" s="389"/>
      <c r="K82" s="389"/>
      <c r="R82" s="380">
        <v>-1.8000000000000001E-4</v>
      </c>
    </row>
    <row r="83" spans="1:18" s="380" customFormat="1">
      <c r="A83" s="448"/>
      <c r="B83" s="289"/>
      <c r="C83" s="448"/>
      <c r="D83" s="327"/>
      <c r="E83" s="327"/>
      <c r="F83" s="170"/>
      <c r="H83" s="402"/>
      <c r="I83" s="389"/>
      <c r="J83" s="389"/>
      <c r="K83" s="389"/>
      <c r="L83" s="389"/>
    </row>
    <row r="84" spans="1:18" s="380" customFormat="1">
      <c r="A84" s="448"/>
      <c r="B84" s="289" t="s">
        <v>744</v>
      </c>
      <c r="F84" s="47"/>
      <c r="G84" s="196"/>
      <c r="H84" s="322"/>
      <c r="I84" s="353"/>
      <c r="J84" s="389"/>
      <c r="K84" s="389"/>
      <c r="L84" s="389"/>
    </row>
    <row r="85" spans="1:18" s="380" customFormat="1">
      <c r="A85" s="448"/>
      <c r="B85" s="289" t="s">
        <v>532</v>
      </c>
      <c r="C85" s="448"/>
      <c r="D85" s="327"/>
      <c r="E85" s="327"/>
      <c r="F85" s="170">
        <f>F82</f>
        <v>16029420.157809999</v>
      </c>
      <c r="H85" s="402"/>
      <c r="I85" s="389">
        <f>F85*R85/1000</f>
        <v>236.91482993243179</v>
      </c>
      <c r="J85" s="389"/>
      <c r="K85" s="389"/>
      <c r="R85" s="380">
        <v>1.478E-2</v>
      </c>
    </row>
    <row r="86" spans="1:18" s="380" customFormat="1">
      <c r="A86" s="448"/>
      <c r="B86" s="289"/>
      <c r="C86" s="448"/>
      <c r="D86" s="327"/>
      <c r="E86" s="327"/>
      <c r="F86" s="170"/>
      <c r="H86" s="402"/>
      <c r="I86" s="389"/>
      <c r="J86" s="389"/>
      <c r="K86" s="389"/>
      <c r="L86" s="389"/>
    </row>
    <row r="87" spans="1:18" s="380" customFormat="1">
      <c r="A87" s="448"/>
      <c r="B87" s="289" t="s">
        <v>743</v>
      </c>
      <c r="F87" s="47"/>
      <c r="G87" s="196"/>
      <c r="H87" s="322"/>
      <c r="I87" s="353"/>
      <c r="J87" s="389"/>
      <c r="K87" s="389"/>
      <c r="L87" s="389"/>
    </row>
    <row r="88" spans="1:18" s="380" customFormat="1">
      <c r="A88" s="448"/>
      <c r="B88" s="289" t="s">
        <v>532</v>
      </c>
      <c r="C88" s="448"/>
      <c r="D88" s="327"/>
      <c r="E88" s="327"/>
      <c r="F88" s="170">
        <f>F82</f>
        <v>16029420.157809999</v>
      </c>
      <c r="H88" s="402"/>
      <c r="I88" s="389">
        <f>F88*R88/1000</f>
        <v>55.301499544444496</v>
      </c>
      <c r="J88" s="389"/>
      <c r="K88" s="389"/>
      <c r="R88" s="380">
        <v>3.4499999999999999E-3</v>
      </c>
    </row>
    <row r="89" spans="1:18" s="380" customFormat="1">
      <c r="A89" s="448"/>
      <c r="B89" s="289"/>
      <c r="C89" s="448"/>
      <c r="D89" s="327"/>
      <c r="E89" s="327"/>
      <c r="F89" s="170"/>
      <c r="H89" s="402"/>
      <c r="I89" s="389"/>
      <c r="J89" s="389"/>
      <c r="K89" s="389"/>
      <c r="L89" s="389"/>
    </row>
    <row r="90" spans="1:18" s="380" customFormat="1">
      <c r="A90" s="448"/>
      <c r="B90" s="289" t="s">
        <v>838</v>
      </c>
      <c r="F90" s="47"/>
      <c r="G90" s="196"/>
      <c r="H90" s="322"/>
      <c r="I90" s="353"/>
      <c r="J90" s="353"/>
      <c r="K90" s="389"/>
      <c r="L90" s="389"/>
    </row>
    <row r="91" spans="1:18" s="380" customFormat="1">
      <c r="A91" s="448"/>
      <c r="B91" s="289" t="s">
        <v>532</v>
      </c>
      <c r="C91" s="448"/>
      <c r="D91" s="327"/>
      <c r="E91" s="327"/>
      <c r="F91" s="170">
        <f>F82</f>
        <v>16029420.157809999</v>
      </c>
      <c r="H91" s="402"/>
      <c r="I91" s="389">
        <f>F91*R91/1000</f>
        <v>419.97080813462202</v>
      </c>
      <c r="J91" s="389"/>
      <c r="K91" s="389"/>
      <c r="L91" s="389"/>
      <c r="R91" s="380">
        <v>2.6200000000000001E-2</v>
      </c>
    </row>
    <row r="92" spans="1:18" s="380" customFormat="1">
      <c r="A92" s="448"/>
      <c r="B92" s="289"/>
      <c r="C92" s="448"/>
      <c r="D92" s="327"/>
      <c r="E92" s="327"/>
      <c r="F92" s="170"/>
      <c r="H92" s="402"/>
      <c r="I92" s="389"/>
      <c r="J92" s="389"/>
      <c r="K92" s="389"/>
      <c r="L92" s="389"/>
    </row>
    <row r="93" spans="1:18" s="380" customFormat="1">
      <c r="A93" s="448"/>
      <c r="B93" s="289" t="s">
        <v>839</v>
      </c>
      <c r="F93" s="47"/>
      <c r="G93" s="196"/>
      <c r="H93" s="322"/>
      <c r="I93" s="353"/>
      <c r="J93" s="389"/>
      <c r="K93" s="389"/>
      <c r="L93" s="389"/>
    </row>
    <row r="94" spans="1:18" s="380" customFormat="1">
      <c r="A94" s="448"/>
      <c r="B94" s="289" t="s">
        <v>532</v>
      </c>
      <c r="C94" s="448"/>
      <c r="D94" s="327"/>
      <c r="E94" s="327"/>
      <c r="F94" s="170">
        <f>F82</f>
        <v>16029420.157809999</v>
      </c>
      <c r="H94" s="402"/>
      <c r="I94" s="389">
        <f>F94*R94/1000</f>
        <v>165.58391023017731</v>
      </c>
      <c r="J94" s="389"/>
      <c r="K94" s="389"/>
      <c r="L94" s="389"/>
      <c r="R94" s="380">
        <v>1.0330000000000001E-2</v>
      </c>
    </row>
    <row r="95" spans="1:18" s="380" customFormat="1">
      <c r="A95" s="448"/>
      <c r="B95" s="289"/>
      <c r="C95" s="448"/>
      <c r="D95" s="327"/>
      <c r="E95" s="327"/>
      <c r="F95" s="170"/>
      <c r="H95" s="402"/>
      <c r="I95" s="389"/>
      <c r="J95" s="389"/>
      <c r="K95" s="389"/>
      <c r="L95" s="389"/>
    </row>
    <row r="96" spans="1:18" s="380" customFormat="1">
      <c r="A96" s="448"/>
      <c r="B96" s="289" t="s">
        <v>840</v>
      </c>
      <c r="F96" s="47"/>
      <c r="G96" s="196"/>
      <c r="H96" s="322"/>
      <c r="I96" s="353"/>
      <c r="J96" s="389"/>
      <c r="K96" s="389"/>
      <c r="L96" s="389"/>
    </row>
    <row r="97" spans="1:20" s="380" customFormat="1">
      <c r="A97" s="448"/>
      <c r="B97" s="289" t="s">
        <v>532</v>
      </c>
      <c r="C97" s="448"/>
      <c r="D97" s="327"/>
      <c r="E97" s="327"/>
      <c r="F97" s="170">
        <f>F82</f>
        <v>16029420.157809999</v>
      </c>
      <c r="H97" s="402"/>
      <c r="I97" s="389">
        <f>F97*R97/1000</f>
        <v>-326.67958281616774</v>
      </c>
      <c r="J97" s="389"/>
      <c r="K97" s="389"/>
      <c r="L97" s="389"/>
      <c r="R97" s="380">
        <v>-2.0379999999999999E-2</v>
      </c>
    </row>
    <row r="98" spans="1:20" s="380" customFormat="1">
      <c r="A98" s="448"/>
      <c r="B98" s="289"/>
      <c r="C98" s="448"/>
      <c r="D98" s="327"/>
      <c r="E98" s="327"/>
      <c r="F98" s="170"/>
      <c r="H98" s="402"/>
      <c r="I98" s="389"/>
      <c r="J98" s="389"/>
      <c r="K98" s="389"/>
      <c r="L98" s="389"/>
    </row>
    <row r="99" spans="1:20" s="380" customFormat="1">
      <c r="A99" s="448"/>
      <c r="B99" s="289" t="s">
        <v>543</v>
      </c>
      <c r="F99" s="47"/>
      <c r="G99" s="196"/>
      <c r="H99" s="322"/>
      <c r="I99" s="353"/>
      <c r="J99" s="353"/>
      <c r="K99" s="353"/>
      <c r="L99" s="353"/>
    </row>
    <row r="100" spans="1:20" s="380" customFormat="1">
      <c r="A100" s="448"/>
      <c r="B100" s="289" t="s">
        <v>532</v>
      </c>
      <c r="C100" s="448"/>
      <c r="D100" s="327"/>
      <c r="E100" s="327"/>
      <c r="F100" s="170">
        <f>F82</f>
        <v>16029420.157809999</v>
      </c>
      <c r="H100" s="402"/>
      <c r="I100" s="389">
        <f>F100*R100/1000</f>
        <v>179.20891736431579</v>
      </c>
      <c r="J100" s="389"/>
      <c r="K100" s="389"/>
      <c r="R100" s="380">
        <v>1.1180000000000001E-2</v>
      </c>
    </row>
    <row r="101" spans="1:20" s="380" customFormat="1">
      <c r="A101" s="448"/>
      <c r="C101" s="448"/>
      <c r="D101" s="327"/>
      <c r="E101" s="327"/>
      <c r="F101" s="327"/>
      <c r="G101" s="196"/>
      <c r="M101" s="108"/>
      <c r="P101" s="380" t="s">
        <v>472</v>
      </c>
    </row>
    <row r="102" spans="1:20">
      <c r="H102" s="324"/>
      <c r="L102" s="380"/>
      <c r="M102" s="108"/>
      <c r="O102" s="380"/>
      <c r="Q102" s="380"/>
      <c r="R102" s="380"/>
      <c r="S102" s="380"/>
      <c r="T102" s="380"/>
    </row>
    <row r="103" spans="1:20">
      <c r="B103" s="289" t="s">
        <v>620</v>
      </c>
      <c r="F103" s="47">
        <f>'REVRUNS 12ME0623'!P89</f>
        <v>12328902.924040001</v>
      </c>
      <c r="H103" s="402"/>
      <c r="I103" s="410">
        <v>0</v>
      </c>
      <c r="J103" s="410"/>
      <c r="K103" s="410"/>
      <c r="L103" s="380" t="s">
        <v>781</v>
      </c>
      <c r="M103" s="108"/>
      <c r="O103" s="380"/>
      <c r="Q103" s="380"/>
      <c r="R103" s="380"/>
      <c r="S103" s="380"/>
      <c r="T103" s="380"/>
    </row>
    <row r="104" spans="1:20">
      <c r="H104" s="380"/>
      <c r="L104" s="380"/>
      <c r="M104" s="108"/>
      <c r="O104" s="380"/>
      <c r="Q104" s="380"/>
      <c r="R104" s="380"/>
      <c r="S104" s="380"/>
      <c r="T104" s="380"/>
    </row>
    <row r="105" spans="1:20">
      <c r="H105" s="380"/>
      <c r="L105" s="380"/>
      <c r="M105" s="108"/>
      <c r="O105" s="380"/>
      <c r="Q105" s="380"/>
      <c r="R105" s="380"/>
      <c r="S105" s="380"/>
      <c r="T105" s="380"/>
    </row>
    <row r="106" spans="1:20">
      <c r="H106" s="380"/>
      <c r="L106" s="380"/>
      <c r="M106" s="108"/>
      <c r="O106" s="380"/>
      <c r="Q106" s="380"/>
      <c r="R106" s="380"/>
      <c r="S106" s="380"/>
      <c r="T106" s="380"/>
    </row>
    <row r="107" spans="1:20">
      <c r="B107" s="289" t="s">
        <v>640</v>
      </c>
      <c r="H107" s="380"/>
      <c r="I107" s="353">
        <f>I78+I82+I91+I88+I85+I94+I97+I100</f>
        <v>719.14113646297915</v>
      </c>
      <c r="J107" s="353"/>
      <c r="K107" s="353"/>
      <c r="L107" s="380" t="s">
        <v>781</v>
      </c>
      <c r="M107" s="108"/>
      <c r="O107" s="380"/>
      <c r="Q107" s="380"/>
      <c r="R107" s="380"/>
      <c r="S107" s="380"/>
      <c r="T107" s="380"/>
    </row>
    <row r="108" spans="1:20">
      <c r="H108" s="380"/>
      <c r="L108" s="380"/>
      <c r="M108" s="108"/>
      <c r="O108" s="380"/>
      <c r="Q108" s="380"/>
      <c r="R108" s="380"/>
      <c r="S108" s="380"/>
      <c r="T108" s="380"/>
    </row>
    <row r="109" spans="1:20">
      <c r="H109" s="380"/>
      <c r="L109" s="380"/>
      <c r="M109" s="108"/>
      <c r="O109" s="380"/>
      <c r="Q109" s="380"/>
      <c r="R109" s="380"/>
      <c r="S109" s="380"/>
      <c r="T109" s="380"/>
    </row>
    <row r="110" spans="1:20">
      <c r="H110" s="380"/>
      <c r="L110" s="380"/>
      <c r="N110" s="43"/>
      <c r="O110" s="108"/>
      <c r="P110" s="43"/>
      <c r="R110" s="43"/>
    </row>
    <row r="111" spans="1:20">
      <c r="H111" s="380"/>
      <c r="L111" s="410"/>
      <c r="N111" s="354">
        <v>0</v>
      </c>
      <c r="O111" s="108">
        <v>1</v>
      </c>
      <c r="P111" s="355">
        <f ca="1">-D42*$N$112</f>
        <v>0</v>
      </c>
      <c r="R111" s="201">
        <f>0/'Pres &amp; Prop Rev'!D23</f>
        <v>0</v>
      </c>
      <c r="S111" s="203">
        <f ca="1">(D42/$D$60)*$P$117</f>
        <v>0</v>
      </c>
    </row>
    <row r="112" spans="1:20">
      <c r="H112" s="380"/>
      <c r="L112" s="380"/>
      <c r="N112" s="356">
        <f ca="1">N111/D60</f>
        <v>0</v>
      </c>
      <c r="O112" s="108">
        <v>11</v>
      </c>
      <c r="P112" s="355">
        <f ca="1">-D44*N112</f>
        <v>0</v>
      </c>
      <c r="R112" s="43"/>
      <c r="S112" s="203">
        <f ca="1">(D44/$D$60)*$P$117</f>
        <v>0</v>
      </c>
    </row>
    <row r="113" spans="8:19">
      <c r="H113" s="380"/>
      <c r="L113" s="380"/>
      <c r="N113" s="43"/>
      <c r="O113" s="108">
        <v>21</v>
      </c>
      <c r="P113" s="355">
        <f ca="1">-D48*N112</f>
        <v>0</v>
      </c>
      <c r="R113" s="43"/>
      <c r="S113" s="203">
        <f ca="1">(D48/$D$60)*$P$117</f>
        <v>0</v>
      </c>
    </row>
    <row r="114" spans="8:19">
      <c r="H114" s="380"/>
      <c r="L114" s="380"/>
      <c r="N114" s="43"/>
      <c r="O114" s="108">
        <v>25</v>
      </c>
      <c r="P114" s="355">
        <f ca="1">-D52*N112</f>
        <v>0</v>
      </c>
      <c r="R114" s="43"/>
      <c r="S114" s="203">
        <f ca="1">(D52/$D$60)*$P$117</f>
        <v>0</v>
      </c>
    </row>
    <row r="115" spans="8:19">
      <c r="H115" s="380"/>
      <c r="L115" s="353"/>
      <c r="N115" s="43"/>
      <c r="O115" s="108">
        <v>31</v>
      </c>
      <c r="P115" s="355">
        <f ca="1">-D56*N112</f>
        <v>0</v>
      </c>
      <c r="R115" s="43"/>
      <c r="S115" s="203">
        <f ca="1">(D56/$D$60)*$P$117</f>
        <v>0</v>
      </c>
    </row>
    <row r="116" spans="8:19">
      <c r="H116" s="380"/>
      <c r="L116" s="380"/>
      <c r="N116" s="43"/>
      <c r="O116" s="69" t="s">
        <v>321</v>
      </c>
      <c r="P116" s="355">
        <f ca="1">-D58*N112</f>
        <v>0</v>
      </c>
      <c r="R116" s="43"/>
      <c r="S116" s="203">
        <f ca="1">(D58/$D$60)*$P$117</f>
        <v>0</v>
      </c>
    </row>
    <row r="117" spans="8:19">
      <c r="H117" s="380"/>
      <c r="L117" s="380"/>
      <c r="N117" s="43"/>
      <c r="O117" s="108"/>
      <c r="P117" s="355">
        <f ca="1">SUM(P111:P116)</f>
        <v>0</v>
      </c>
      <c r="R117" s="43"/>
      <c r="S117" s="203">
        <f ca="1">SUM(S111:S116)</f>
        <v>0</v>
      </c>
    </row>
    <row r="118" spans="8:19">
      <c r="H118" s="380"/>
      <c r="L118" s="380"/>
      <c r="N118" s="43"/>
      <c r="O118" s="108"/>
      <c r="P118" s="43"/>
      <c r="R118" s="43"/>
    </row>
    <row r="119" spans="8:19">
      <c r="H119" s="380"/>
      <c r="L119" s="380"/>
      <c r="N119" s="43"/>
      <c r="O119" s="108"/>
      <c r="P119" s="43"/>
      <c r="R119" s="43"/>
    </row>
    <row r="120" spans="8:19">
      <c r="H120" s="380"/>
      <c r="L120" s="380"/>
      <c r="N120" s="43"/>
      <c r="O120" s="108"/>
      <c r="P120" s="43"/>
      <c r="R120" s="43"/>
    </row>
    <row r="121" spans="8:19">
      <c r="H121" s="380"/>
      <c r="L121" s="380"/>
      <c r="N121" s="43"/>
      <c r="O121" s="108"/>
      <c r="P121" s="43"/>
      <c r="R121" s="43"/>
    </row>
    <row r="122" spans="8:19">
      <c r="H122" s="380"/>
      <c r="L122" s="380"/>
      <c r="N122" s="43"/>
      <c r="O122" s="108"/>
      <c r="P122" s="43"/>
      <c r="R122" s="43"/>
    </row>
    <row r="123" spans="8:19">
      <c r="H123" s="380"/>
      <c r="L123" s="380"/>
      <c r="N123" s="43"/>
      <c r="O123" s="108"/>
      <c r="P123" s="43"/>
      <c r="R123" s="43"/>
    </row>
    <row r="124" spans="8:19">
      <c r="H124" s="380"/>
      <c r="L124" s="380"/>
      <c r="N124" s="43"/>
      <c r="O124" s="108"/>
      <c r="P124" s="43"/>
      <c r="R124" s="43"/>
    </row>
    <row r="125" spans="8:19">
      <c r="H125" s="380"/>
      <c r="L125" s="380"/>
      <c r="N125" s="43"/>
      <c r="O125" s="108"/>
      <c r="P125" s="43"/>
      <c r="R125" s="43"/>
    </row>
    <row r="126" spans="8:19">
      <c r="H126" s="380"/>
      <c r="L126" s="380"/>
      <c r="N126" s="43"/>
      <c r="O126" s="108"/>
      <c r="P126" s="43"/>
      <c r="R126" s="43"/>
    </row>
    <row r="127" spans="8:19">
      <c r="H127" s="380"/>
      <c r="L127" s="380"/>
      <c r="N127" s="43"/>
      <c r="O127" s="108"/>
      <c r="P127" s="43"/>
      <c r="R127" s="43"/>
    </row>
    <row r="128" spans="8:19">
      <c r="H128" s="380"/>
      <c r="L128" s="380"/>
      <c r="N128" s="43"/>
      <c r="O128" s="108"/>
      <c r="P128" s="43"/>
      <c r="R128" s="43"/>
    </row>
    <row r="129" spans="2:18">
      <c r="H129" s="380"/>
      <c r="L129" s="380"/>
      <c r="N129" s="43"/>
      <c r="O129" s="108"/>
      <c r="P129" s="43"/>
      <c r="R129" s="43"/>
    </row>
    <row r="130" spans="2:18">
      <c r="L130" s="380"/>
      <c r="N130" s="43"/>
      <c r="O130" s="108"/>
      <c r="P130" s="43"/>
      <c r="R130" s="43"/>
    </row>
    <row r="131" spans="2:18">
      <c r="L131" s="380"/>
      <c r="N131" s="43"/>
      <c r="O131" s="108"/>
      <c r="P131" s="43"/>
      <c r="R131" s="43"/>
    </row>
    <row r="132" spans="2:18">
      <c r="L132" s="380"/>
      <c r="N132" s="43"/>
      <c r="O132" s="108"/>
      <c r="P132" s="43"/>
      <c r="R132" s="43"/>
    </row>
    <row r="133" spans="2:18">
      <c r="L133" s="380"/>
      <c r="N133" s="43"/>
      <c r="O133" s="108"/>
      <c r="P133" s="43"/>
      <c r="R133" s="43"/>
    </row>
    <row r="134" spans="2:18">
      <c r="L134" s="380"/>
      <c r="N134" s="43"/>
      <c r="O134" s="108"/>
      <c r="P134" s="43"/>
      <c r="R134" s="43"/>
    </row>
    <row r="135" spans="2:18">
      <c r="L135" s="380"/>
      <c r="N135" s="43"/>
      <c r="O135" s="108"/>
      <c r="P135" s="43"/>
      <c r="R135" s="43"/>
    </row>
    <row r="136" spans="2:18">
      <c r="L136" s="380"/>
      <c r="N136" s="43"/>
      <c r="O136" s="108"/>
      <c r="P136" s="43"/>
      <c r="R136" s="43"/>
    </row>
    <row r="137" spans="2:18">
      <c r="L137" s="380"/>
      <c r="N137" s="43"/>
      <c r="O137" s="108"/>
      <c r="P137" s="43"/>
      <c r="R137" s="43"/>
    </row>
    <row r="140" spans="2:18">
      <c r="B140" s="380"/>
    </row>
  </sheetData>
  <mergeCells count="6">
    <mergeCell ref="A5:S5"/>
    <mergeCell ref="V1:W3"/>
    <mergeCell ref="A1:S1"/>
    <mergeCell ref="A2:S2"/>
    <mergeCell ref="A3:S3"/>
    <mergeCell ref="A4:S4"/>
  </mergeCells>
  <phoneticPr fontId="0" type="noConversion"/>
  <conditionalFormatting sqref="D61:F61">
    <cfRule type="cellIs" dxfId="30" priority="1" stopIfTrue="1" operator="notEqual">
      <formula>0</formula>
    </cfRule>
  </conditionalFormatting>
  <pageMargins left="0.5" right="0.5" top="1" bottom="1" header="0.5" footer="0.5"/>
  <pageSetup scale="53" orientation="landscape" r:id="rId1"/>
  <headerFooter alignWithMargins="0">
    <oddHeader>&amp;R&amp;14JDM-9</oddHeader>
    <oddFooter>&amp;R&amp;12Page 1 of 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00B050"/>
    <pageSetUpPr fitToPage="1"/>
  </sheetPr>
  <dimension ref="A1:Z118"/>
  <sheetViews>
    <sheetView showGridLines="0" view="pageBreakPreview" zoomScale="115" zoomScaleNormal="85" zoomScaleSheetLayoutView="115" workbookViewId="0">
      <pane xSplit="3" ySplit="11" topLeftCell="D12" activePane="bottomRight" state="frozen"/>
      <selection activeCell="B35" sqref="B35"/>
      <selection pane="topRight" activeCell="B35" sqref="B35"/>
      <selection pane="bottomLeft" activeCell="B35" sqref="B35"/>
      <selection pane="bottomRight" activeCell="L29" sqref="L29"/>
    </sheetView>
  </sheetViews>
  <sheetFormatPr defaultColWidth="9.28515625" defaultRowHeight="12.75"/>
  <cols>
    <col min="1" max="1" width="11.85546875" style="43" customWidth="1"/>
    <col min="2" max="2" width="9.28515625" style="43"/>
    <col min="3" max="3" width="11.140625" style="43" customWidth="1"/>
    <col min="4" max="4" width="10.28515625" style="43" customWidth="1"/>
    <col min="5" max="5" width="10.7109375" style="43" customWidth="1"/>
    <col min="6" max="6" width="10.28515625" style="43" customWidth="1"/>
    <col min="7" max="7" width="9.5703125" style="108" hidden="1" customWidth="1"/>
    <col min="8" max="8" width="10.28515625" style="380" hidden="1" customWidth="1"/>
    <col min="9" max="9" width="1.7109375" style="43" customWidth="1"/>
    <col min="10" max="10" width="11.7109375" style="108" customWidth="1"/>
    <col min="11" max="11" width="15.28515625" style="108" hidden="1" customWidth="1"/>
    <col min="12" max="12" width="14.42578125" style="108" customWidth="1"/>
    <col min="13" max="13" width="11.7109375" style="108" customWidth="1"/>
    <col min="14" max="14" width="13" style="108" customWidth="1"/>
    <col min="15" max="16" width="13.5703125" style="108" hidden="1" customWidth="1"/>
    <col min="17" max="17" width="17.5703125" style="108" hidden="1" customWidth="1"/>
    <col min="18" max="20" width="9.28515625" style="43"/>
    <col min="21" max="21" width="11.7109375" style="43" bestFit="1" customWidth="1"/>
    <col min="22" max="22" width="11.42578125" style="43" bestFit="1" customWidth="1"/>
    <col min="23" max="23" width="10.28515625" style="43" bestFit="1" customWidth="1"/>
    <col min="24" max="24" width="14.5703125" style="320" bestFit="1" customWidth="1"/>
    <col min="25" max="25" width="9.28515625" style="320" bestFit="1" customWidth="1"/>
    <col min="26" max="16384" width="9.28515625" style="43"/>
  </cols>
  <sheetData>
    <row r="1" spans="1:25">
      <c r="A1" s="129" t="s">
        <v>78</v>
      </c>
      <c r="B1" s="314"/>
      <c r="C1" s="314"/>
      <c r="D1" s="314"/>
      <c r="E1" s="314"/>
      <c r="F1" s="314"/>
      <c r="G1" s="129"/>
      <c r="H1" s="314"/>
      <c r="I1" s="314"/>
      <c r="J1" s="129"/>
      <c r="K1" s="129"/>
      <c r="L1" s="129"/>
      <c r="M1" s="129"/>
      <c r="N1" s="129"/>
      <c r="O1" s="129"/>
      <c r="P1" s="129"/>
      <c r="Q1" s="129"/>
      <c r="S1" s="43" t="s">
        <v>315</v>
      </c>
    </row>
    <row r="2" spans="1:25">
      <c r="A2" s="129" t="s">
        <v>365</v>
      </c>
      <c r="B2" s="314"/>
      <c r="C2" s="314"/>
      <c r="D2" s="314"/>
      <c r="E2" s="314"/>
      <c r="F2" s="314"/>
      <c r="G2" s="129"/>
      <c r="H2" s="314"/>
      <c r="I2" s="314"/>
      <c r="J2" s="129"/>
      <c r="K2" s="129"/>
      <c r="L2" s="129"/>
      <c r="M2" s="129"/>
      <c r="N2" s="129"/>
      <c r="O2" s="129"/>
      <c r="P2" s="129"/>
      <c r="Q2" s="129"/>
    </row>
    <row r="3" spans="1:25">
      <c r="A3" s="129" t="s">
        <v>292</v>
      </c>
      <c r="B3" s="314"/>
      <c r="C3" s="314"/>
      <c r="D3" s="314"/>
      <c r="E3" s="314"/>
      <c r="F3" s="314"/>
      <c r="G3" s="129"/>
      <c r="H3" s="314"/>
      <c r="I3" s="314"/>
      <c r="J3" s="129"/>
      <c r="K3" s="129"/>
      <c r="L3" s="129"/>
      <c r="M3" s="129"/>
      <c r="N3" s="129"/>
      <c r="O3" s="129"/>
      <c r="P3" s="129"/>
      <c r="Q3" s="129"/>
    </row>
    <row r="4" spans="1:25">
      <c r="F4" s="312"/>
      <c r="H4" s="457"/>
    </row>
    <row r="5" spans="1:25" ht="15.75">
      <c r="A5" s="465"/>
    </row>
    <row r="6" spans="1:25" s="380" customFormat="1" ht="18">
      <c r="A6" s="866" t="s">
        <v>908</v>
      </c>
      <c r="G6" s="108"/>
      <c r="J6" s="108"/>
      <c r="K6" s="108"/>
      <c r="L6" s="108"/>
      <c r="M6" s="108"/>
      <c r="N6" s="108"/>
      <c r="O6" s="108"/>
      <c r="P6" s="108"/>
      <c r="Q6" s="108"/>
      <c r="X6" s="320"/>
      <c r="Y6" s="320"/>
    </row>
    <row r="7" spans="1:25" s="380" customFormat="1" ht="15.75">
      <c r="A7" s="465"/>
      <c r="B7" s="868"/>
      <c r="G7" s="108"/>
      <c r="J7" s="108"/>
      <c r="K7" s="108"/>
      <c r="L7" s="108"/>
      <c r="M7" s="108"/>
      <c r="N7" s="108"/>
      <c r="O7" s="108"/>
      <c r="P7" s="108"/>
      <c r="Q7" s="108"/>
      <c r="X7" s="320"/>
      <c r="Y7" s="320"/>
    </row>
    <row r="8" spans="1:25">
      <c r="D8" s="205"/>
      <c r="E8" s="205"/>
      <c r="F8" s="205"/>
      <c r="G8" s="457" t="s">
        <v>664</v>
      </c>
      <c r="H8" s="448"/>
      <c r="I8" s="205"/>
      <c r="J8" s="312" t="s">
        <v>293</v>
      </c>
      <c r="K8" s="404" t="s">
        <v>707</v>
      </c>
      <c r="L8" s="433" t="s">
        <v>915</v>
      </c>
      <c r="M8" s="312" t="s">
        <v>259</v>
      </c>
      <c r="N8" s="836" t="s">
        <v>259</v>
      </c>
      <c r="O8" s="404" t="s">
        <v>476</v>
      </c>
      <c r="P8" s="404" t="s">
        <v>474</v>
      </c>
      <c r="Q8" s="337" t="s">
        <v>416</v>
      </c>
    </row>
    <row r="9" spans="1:25">
      <c r="D9" s="205" t="s">
        <v>200</v>
      </c>
      <c r="E9" s="205" t="s">
        <v>255</v>
      </c>
      <c r="F9" s="205" t="s">
        <v>294</v>
      </c>
      <c r="G9" s="457" t="s">
        <v>246</v>
      </c>
      <c r="H9" s="448" t="s">
        <v>646</v>
      </c>
      <c r="I9" s="205"/>
      <c r="J9" s="312" t="s">
        <v>295</v>
      </c>
      <c r="K9" s="404" t="s">
        <v>708</v>
      </c>
      <c r="L9" s="433" t="s">
        <v>912</v>
      </c>
      <c r="M9" s="312" t="s">
        <v>296</v>
      </c>
      <c r="N9" s="836" t="s">
        <v>200</v>
      </c>
      <c r="O9" s="404" t="s">
        <v>477</v>
      </c>
      <c r="P9" s="404" t="s">
        <v>475</v>
      </c>
      <c r="Q9" s="337" t="s">
        <v>417</v>
      </c>
      <c r="X9" s="323"/>
    </row>
    <row r="10" spans="1:25">
      <c r="A10" s="876" t="s">
        <v>403</v>
      </c>
      <c r="B10" s="876"/>
      <c r="C10" s="876"/>
      <c r="D10" s="315" t="s">
        <v>297</v>
      </c>
      <c r="E10" s="315" t="s">
        <v>298</v>
      </c>
      <c r="F10" s="315" t="s">
        <v>299</v>
      </c>
      <c r="G10" s="130" t="s">
        <v>645</v>
      </c>
      <c r="H10" s="315" t="s">
        <v>299</v>
      </c>
      <c r="I10" s="315"/>
      <c r="J10" s="130" t="s">
        <v>478</v>
      </c>
      <c r="K10" s="130" t="s">
        <v>263</v>
      </c>
      <c r="L10" s="130" t="s">
        <v>921</v>
      </c>
      <c r="M10" s="130" t="s">
        <v>246</v>
      </c>
      <c r="N10" s="837" t="s">
        <v>246</v>
      </c>
      <c r="O10" s="130" t="s">
        <v>373</v>
      </c>
      <c r="P10" s="130" t="s">
        <v>263</v>
      </c>
      <c r="Q10" s="130" t="s">
        <v>421</v>
      </c>
      <c r="R10" s="278" t="s">
        <v>387</v>
      </c>
      <c r="S10" s="278"/>
      <c r="T10" s="205"/>
      <c r="U10" s="205" t="s">
        <v>255</v>
      </c>
      <c r="V10" s="205" t="s">
        <v>257</v>
      </c>
      <c r="W10" s="205" t="s">
        <v>259</v>
      </c>
      <c r="X10" s="323"/>
    </row>
    <row r="11" spans="1:25">
      <c r="B11" s="205" t="s">
        <v>264</v>
      </c>
      <c r="D11" s="205" t="s">
        <v>265</v>
      </c>
      <c r="E11" s="205" t="s">
        <v>266</v>
      </c>
      <c r="F11" s="205" t="s">
        <v>267</v>
      </c>
      <c r="G11" s="457" t="s">
        <v>268</v>
      </c>
      <c r="H11" s="448" t="s">
        <v>268</v>
      </c>
      <c r="I11" s="205"/>
      <c r="J11" s="312" t="s">
        <v>268</v>
      </c>
      <c r="K11" s="404" t="s">
        <v>269</v>
      </c>
      <c r="L11" s="608" t="s">
        <v>269</v>
      </c>
      <c r="M11" s="608" t="s">
        <v>270</v>
      </c>
      <c r="N11" s="836" t="s">
        <v>289</v>
      </c>
      <c r="O11" s="337" t="s">
        <v>289</v>
      </c>
      <c r="P11" s="404" t="s">
        <v>290</v>
      </c>
      <c r="Q11" s="404" t="s">
        <v>342</v>
      </c>
      <c r="R11" s="205" t="s">
        <v>254</v>
      </c>
      <c r="S11" s="205" t="s">
        <v>386</v>
      </c>
      <c r="T11" s="205"/>
      <c r="U11" s="205" t="s">
        <v>386</v>
      </c>
      <c r="V11" s="205" t="s">
        <v>254</v>
      </c>
      <c r="W11" s="205" t="s">
        <v>386</v>
      </c>
      <c r="X11" s="323"/>
    </row>
    <row r="12" spans="1:25">
      <c r="A12" s="197" t="s">
        <v>300</v>
      </c>
      <c r="N12" s="838"/>
      <c r="U12" s="362"/>
    </row>
    <row r="13" spans="1:25">
      <c r="A13" s="43" t="s">
        <v>237</v>
      </c>
      <c r="D13" s="203">
        <f>'Rate Design'!D4</f>
        <v>10</v>
      </c>
      <c r="E13" s="202">
        <f>F13-D13</f>
        <v>0</v>
      </c>
      <c r="F13" s="203">
        <f>'Rate Design'!D14</f>
        <v>10</v>
      </c>
      <c r="G13" s="198"/>
      <c r="H13" s="203"/>
      <c r="J13" s="198">
        <f>IF(ROUND(M13-F13,5)&lt;&gt;ROUND(N13-D13,5),#VALUE!,N13-D13)</f>
        <v>0</v>
      </c>
      <c r="K13" s="198"/>
      <c r="L13" s="198"/>
      <c r="M13" s="198">
        <f>'Rate Design'!D36</f>
        <v>10</v>
      </c>
      <c r="N13" s="839">
        <f>'Rate Design'!D26</f>
        <v>10</v>
      </c>
      <c r="O13" s="198"/>
      <c r="P13" s="198"/>
      <c r="Q13" s="198">
        <f>N13</f>
        <v>10</v>
      </c>
      <c r="R13" s="316">
        <f>J13/D13</f>
        <v>0</v>
      </c>
      <c r="S13" s="316">
        <f>J13/F13</f>
        <v>0</v>
      </c>
      <c r="T13" s="316"/>
      <c r="U13" s="363"/>
      <c r="V13" s="363"/>
      <c r="X13" s="389"/>
      <c r="Y13" s="389"/>
    </row>
    <row r="14" spans="1:25">
      <c r="A14" s="43" t="s">
        <v>301</v>
      </c>
      <c r="N14" s="838"/>
      <c r="U14" s="363"/>
      <c r="V14" s="363"/>
      <c r="X14" s="389"/>
      <c r="Y14" s="389"/>
    </row>
    <row r="15" spans="1:25">
      <c r="A15" s="289" t="str">
        <f>"First "&amp;TEXT('Rate Design'!Q5,"#,##0")&amp;" kWhs"</f>
        <v>First 800 kWhs</v>
      </c>
      <c r="D15" s="201">
        <f>'Rate Design'!D5/100</f>
        <v>0.10007999999999999</v>
      </c>
      <c r="E15" s="201">
        <f>F15-D15</f>
        <v>9.2900000000000066E-3</v>
      </c>
      <c r="F15" s="201">
        <f>'Rate Design'!D15/100</f>
        <v>0.10936999999999999</v>
      </c>
      <c r="G15" s="360"/>
      <c r="H15" s="201">
        <f>F15+G15</f>
        <v>0.10936999999999999</v>
      </c>
      <c r="I15" s="201"/>
      <c r="J15" s="199">
        <f>N15-D15</f>
        <v>1.6950000000000007E-2</v>
      </c>
      <c r="K15" s="409">
        <v>0</v>
      </c>
      <c r="L15" s="199">
        <f>-Colstrip!K15</f>
        <v>-6.5399999999999998E-3</v>
      </c>
      <c r="M15" s="199">
        <f>F15+J15+K15+L15</f>
        <v>0.11977999999999998</v>
      </c>
      <c r="N15" s="360">
        <f>'Rate Design'!D27/100</f>
        <v>0.11703</v>
      </c>
      <c r="O15" s="360" t="e">
        <f>#REF!</f>
        <v>#REF!</v>
      </c>
      <c r="P15" s="360">
        <f>0.00164+0.00083</f>
        <v>2.47E-3</v>
      </c>
      <c r="Q15" s="317" t="e">
        <f>M15+O15+P15</f>
        <v>#REF!</v>
      </c>
      <c r="R15" s="316">
        <f>J15/D15</f>
        <v>0.16936450839328546</v>
      </c>
      <c r="S15" s="316">
        <f>(J15+L15)/F15</f>
        <v>9.518149401115486E-2</v>
      </c>
      <c r="U15" s="201">
        <f>D15+E15-F15</f>
        <v>0</v>
      </c>
      <c r="V15" s="201">
        <f>D15+J15-N15</f>
        <v>0</v>
      </c>
      <c r="W15" s="201">
        <f>F15+G15+J15+K15+L15-M15</f>
        <v>0</v>
      </c>
      <c r="X15" s="862">
        <f>('Rate Design'!D37/100)-'JDM-9 Pg 3'!M15</f>
        <v>6.5400000000000041E-3</v>
      </c>
      <c r="Y15" s="389"/>
    </row>
    <row r="16" spans="1:25">
      <c r="A16" s="289" t="str">
        <f>TEXT('Rate Design'!Q5,"#,##0")&amp;" - "&amp;TEXT('Rate Design'!Q6,"#,##0")&amp;" kWhs"</f>
        <v>800 - 1,500 kWhs</v>
      </c>
      <c r="D16" s="201">
        <f>'Rate Design'!D6/100</f>
        <v>0.11759</v>
      </c>
      <c r="E16" s="201">
        <f>F16-D16</f>
        <v>9.2899999999999927E-3</v>
      </c>
      <c r="F16" s="201">
        <f>'Rate Design'!D16/100</f>
        <v>0.12687999999999999</v>
      </c>
      <c r="G16" s="360"/>
      <c r="H16" s="201">
        <f>F16+G16</f>
        <v>0.12687999999999999</v>
      </c>
      <c r="I16" s="201"/>
      <c r="J16" s="199">
        <f>N16-D16</f>
        <v>1.9919999999999993E-2</v>
      </c>
      <c r="K16" s="409">
        <f>K15</f>
        <v>0</v>
      </c>
      <c r="L16" s="199">
        <f>L15</f>
        <v>-6.5399999999999998E-3</v>
      </c>
      <c r="M16" s="199">
        <f t="shared" ref="M16" si="0">F16+J16+K16+L16</f>
        <v>0.14026</v>
      </c>
      <c r="N16" s="360">
        <f>'Rate Design'!D28/100</f>
        <v>0.13750999999999999</v>
      </c>
      <c r="O16" s="360" t="e">
        <f>O15</f>
        <v>#REF!</v>
      </c>
      <c r="P16" s="360">
        <f>P15</f>
        <v>2.47E-3</v>
      </c>
      <c r="Q16" s="317" t="e">
        <f>M16+O16</f>
        <v>#REF!</v>
      </c>
      <c r="R16" s="316">
        <f>J16/D16</f>
        <v>0.16940216004762304</v>
      </c>
      <c r="S16" s="316">
        <f t="shared" ref="S16:S17" si="1">(J16+L16)/F16</f>
        <v>0.10545397225725089</v>
      </c>
      <c r="U16" s="201">
        <f>D16+E16-F16</f>
        <v>0</v>
      </c>
      <c r="V16" s="201">
        <f>D16+J16-N16</f>
        <v>0</v>
      </c>
      <c r="W16" s="201">
        <f>F16+G16+J16+K16+L16-M16</f>
        <v>0</v>
      </c>
      <c r="X16" s="862">
        <f>('Rate Design'!D38/100)-'JDM-9 Pg 3'!M16</f>
        <v>6.5399999999999903E-3</v>
      </c>
      <c r="Y16" s="389"/>
    </row>
    <row r="17" spans="1:25">
      <c r="A17" s="289" t="str">
        <f>"All over "&amp;TEXT('Rate Design'!Q6,"#,##0")&amp;" kWhs"</f>
        <v>All over 1,500 kWhs</v>
      </c>
      <c r="D17" s="201">
        <f>'Rate Design'!D7/100</f>
        <v>0.13913999999999999</v>
      </c>
      <c r="E17" s="201">
        <f>F17-D17</f>
        <v>9.2900000000000205E-3</v>
      </c>
      <c r="F17" s="201">
        <f>'Rate Design'!D17/100</f>
        <v>0.14843000000000001</v>
      </c>
      <c r="G17" s="360"/>
      <c r="H17" s="201">
        <f>F17+G17</f>
        <v>0.14843000000000001</v>
      </c>
      <c r="I17" s="201"/>
      <c r="J17" s="199">
        <f>N17-D17</f>
        <v>2.357999999999999E-2</v>
      </c>
      <c r="K17" s="409">
        <f>K15</f>
        <v>0</v>
      </c>
      <c r="L17" s="199">
        <f>L15</f>
        <v>-6.5399999999999998E-3</v>
      </c>
      <c r="M17" s="199">
        <f>F17+J17+K17+L17</f>
        <v>0.16547000000000001</v>
      </c>
      <c r="N17" s="360">
        <f>'Rate Design'!D29/100</f>
        <v>0.16271999999999998</v>
      </c>
      <c r="O17" s="360" t="e">
        <f>O15</f>
        <v>#REF!</v>
      </c>
      <c r="P17" s="360">
        <f>P15</f>
        <v>2.47E-3</v>
      </c>
      <c r="Q17" s="317" t="e">
        <f>M17+O17</f>
        <v>#REF!</v>
      </c>
      <c r="R17" s="316">
        <f>J17/D17</f>
        <v>0.16946959896507111</v>
      </c>
      <c r="S17" s="316">
        <f t="shared" si="1"/>
        <v>0.11480158997507235</v>
      </c>
      <c r="U17" s="201">
        <f>D17+E17-F17</f>
        <v>0</v>
      </c>
      <c r="V17" s="201">
        <f>D17+J17-N17</f>
        <v>0</v>
      </c>
      <c r="W17" s="201">
        <f>F17+G17+J17+K17+L17-M17</f>
        <v>0</v>
      </c>
      <c r="X17" s="862">
        <f>('Rate Design'!D39/100)-'JDM-9 Pg 3'!M17</f>
        <v>6.5399999999999625E-3</v>
      </c>
      <c r="Y17" s="389"/>
    </row>
    <row r="18" spans="1:25" s="380" customFormat="1">
      <c r="A18" s="289"/>
      <c r="D18" s="201"/>
      <c r="E18" s="201"/>
      <c r="F18" s="201"/>
      <c r="G18" s="360"/>
      <c r="H18" s="201"/>
      <c r="I18" s="201"/>
      <c r="J18" s="199"/>
      <c r="K18" s="409"/>
      <c r="L18" s="199"/>
      <c r="M18" s="199"/>
      <c r="N18" s="360"/>
      <c r="O18" s="360"/>
      <c r="P18" s="360"/>
      <c r="Q18" s="317"/>
      <c r="R18" s="316"/>
      <c r="S18" s="316"/>
      <c r="U18" s="201"/>
      <c r="V18" s="201"/>
      <c r="W18" s="201"/>
      <c r="X18" s="862"/>
      <c r="Y18" s="389"/>
    </row>
    <row r="19" spans="1:25" s="380" customFormat="1">
      <c r="A19" s="423" t="s">
        <v>916</v>
      </c>
      <c r="G19" s="108"/>
      <c r="J19" s="108"/>
      <c r="K19" s="108"/>
      <c r="L19" s="108"/>
      <c r="M19" s="108"/>
      <c r="N19" s="108"/>
      <c r="O19" s="108"/>
      <c r="P19" s="108"/>
      <c r="Q19" s="108"/>
      <c r="U19" s="362"/>
      <c r="X19" s="862"/>
      <c r="Y19" s="389"/>
    </row>
    <row r="20" spans="1:25" s="380" customFormat="1">
      <c r="A20" s="380" t="s">
        <v>237</v>
      </c>
      <c r="D20" s="203">
        <f>D13</f>
        <v>10</v>
      </c>
      <c r="E20" s="202">
        <f>F20-D20</f>
        <v>0</v>
      </c>
      <c r="F20" s="203">
        <f>F13</f>
        <v>10</v>
      </c>
      <c r="G20" s="198"/>
      <c r="H20" s="203"/>
      <c r="J20" s="198">
        <f>IF(ROUND(M20-F20,5)&lt;&gt;ROUND(N20-D20,5),#VALUE!,N20-D20)</f>
        <v>0</v>
      </c>
      <c r="K20" s="198"/>
      <c r="L20" s="198"/>
      <c r="M20" s="198">
        <f>M13</f>
        <v>10</v>
      </c>
      <c r="N20" s="198">
        <f>N13</f>
        <v>10</v>
      </c>
      <c r="O20" s="198"/>
      <c r="P20" s="198"/>
      <c r="Q20" s="198">
        <f>N20</f>
        <v>10</v>
      </c>
      <c r="R20" s="316">
        <f>J20/D20</f>
        <v>0</v>
      </c>
      <c r="S20" s="316">
        <f>J20/F20</f>
        <v>0</v>
      </c>
      <c r="T20" s="316"/>
      <c r="U20" s="363"/>
      <c r="V20" s="363"/>
      <c r="X20" s="862"/>
      <c r="Y20" s="389"/>
    </row>
    <row r="21" spans="1:25" s="380" customFormat="1">
      <c r="A21" s="380" t="s">
        <v>301</v>
      </c>
      <c r="G21" s="108"/>
      <c r="J21" s="108"/>
      <c r="K21" s="108"/>
      <c r="L21" s="108"/>
      <c r="M21" s="108"/>
      <c r="N21" s="108"/>
      <c r="O21" s="108"/>
      <c r="P21" s="108"/>
      <c r="Q21" s="108"/>
      <c r="U21" s="363"/>
      <c r="V21" s="363"/>
      <c r="X21" s="862"/>
      <c r="Y21" s="389"/>
    </row>
    <row r="22" spans="1:25" s="380" customFormat="1">
      <c r="A22" s="289" t="s">
        <v>770</v>
      </c>
      <c r="D22" s="201">
        <v>0.24174999999999999</v>
      </c>
      <c r="E22" s="201">
        <f>E15</f>
        <v>9.2900000000000066E-3</v>
      </c>
      <c r="F22" s="201">
        <f>D22+E22</f>
        <v>0.25103999999999999</v>
      </c>
      <c r="G22" s="317"/>
      <c r="H22" s="201">
        <f>F22+G22</f>
        <v>0.25103999999999999</v>
      </c>
      <c r="I22" s="201"/>
      <c r="J22" s="199">
        <f>N22-D22</f>
        <v>4.0943869904076752E-2</v>
      </c>
      <c r="K22" s="199">
        <v>0</v>
      </c>
      <c r="L22" s="199">
        <f>L15</f>
        <v>-6.5399999999999998E-3</v>
      </c>
      <c r="M22" s="199">
        <f>F22+J22+K22+L22</f>
        <v>0.28544386990407677</v>
      </c>
      <c r="N22" s="317">
        <f>D22*(1+R15)</f>
        <v>0.28269386990407674</v>
      </c>
      <c r="O22" s="317" t="e">
        <f>#REF!</f>
        <v>#REF!</v>
      </c>
      <c r="P22" s="317">
        <f>0.00164+0.00083</f>
        <v>2.47E-3</v>
      </c>
      <c r="Q22" s="317" t="e">
        <f>M22+O22+P22</f>
        <v>#REF!</v>
      </c>
      <c r="R22" s="316">
        <f>J22/D22</f>
        <v>0.16936450839328543</v>
      </c>
      <c r="S22" s="316">
        <f>(J22+L22)/F22</f>
        <v>0.13704537087347338</v>
      </c>
      <c r="U22" s="201">
        <f>D22+E22-F22</f>
        <v>0</v>
      </c>
      <c r="V22" s="201">
        <f>D22+J22-N22</f>
        <v>0</v>
      </c>
      <c r="W22" s="201">
        <f>F22+G22+J22+K22+L22-M22</f>
        <v>0</v>
      </c>
      <c r="X22" s="862"/>
      <c r="Y22" s="389"/>
    </row>
    <row r="23" spans="1:25" s="380" customFormat="1">
      <c r="A23" s="289" t="s">
        <v>771</v>
      </c>
      <c r="D23" s="201">
        <v>7.1050000000000002E-2</v>
      </c>
      <c r="E23" s="201">
        <f>E15</f>
        <v>9.2900000000000066E-3</v>
      </c>
      <c r="F23" s="201">
        <f>D23+E23</f>
        <v>8.0340000000000009E-2</v>
      </c>
      <c r="G23" s="317"/>
      <c r="H23" s="201">
        <f>F23+G23</f>
        <v>8.0340000000000009E-2</v>
      </c>
      <c r="I23" s="201"/>
      <c r="J23" s="199">
        <f>N23-D23</f>
        <v>1.2036023471383619E-2</v>
      </c>
      <c r="K23" s="199">
        <f>K22</f>
        <v>0</v>
      </c>
      <c r="L23" s="199">
        <f>L15</f>
        <v>-6.5399999999999998E-3</v>
      </c>
      <c r="M23" s="199">
        <f t="shared" ref="M23" si="2">F23+J23+K23+L23</f>
        <v>8.5836023471383624E-2</v>
      </c>
      <c r="N23" s="317">
        <f>D23*(1+R16)</f>
        <v>8.3086023471383622E-2</v>
      </c>
      <c r="O23" s="317" t="e">
        <f>O22</f>
        <v>#REF!</v>
      </c>
      <c r="P23" s="317">
        <f>P22</f>
        <v>2.47E-3</v>
      </c>
      <c r="Q23" s="317" t="e">
        <f>M23+O23</f>
        <v>#REF!</v>
      </c>
      <c r="R23" s="316">
        <f>J23/D23</f>
        <v>0.16940216004762307</v>
      </c>
      <c r="S23" s="316">
        <f t="shared" ref="S23" si="3">(J23+L23)/F23</f>
        <v>6.8409552792925307E-2</v>
      </c>
      <c r="U23" s="201">
        <f>D23+E23-F23</f>
        <v>0</v>
      </c>
      <c r="V23" s="201">
        <f>D23+J23-N23</f>
        <v>0</v>
      </c>
      <c r="W23" s="201">
        <f>F23+G23+J23+K23+L23-M23</f>
        <v>0</v>
      </c>
      <c r="X23" s="862"/>
      <c r="Y23" s="389"/>
    </row>
    <row r="24" spans="1:25" s="380" customFormat="1">
      <c r="A24" s="289"/>
      <c r="D24" s="201"/>
      <c r="E24" s="201"/>
      <c r="F24" s="201"/>
      <c r="G24" s="317"/>
      <c r="H24" s="201"/>
      <c r="I24" s="201"/>
      <c r="J24" s="199"/>
      <c r="K24" s="199"/>
      <c r="L24" s="199"/>
      <c r="M24" s="199"/>
      <c r="N24" s="317"/>
      <c r="O24" s="317"/>
      <c r="P24" s="317"/>
      <c r="Q24" s="317"/>
      <c r="R24" s="316"/>
      <c r="S24" s="316"/>
      <c r="U24" s="201"/>
      <c r="V24" s="201"/>
      <c r="W24" s="201"/>
      <c r="X24" s="862"/>
      <c r="Y24" s="389"/>
    </row>
    <row r="25" spans="1:25" s="380" customFormat="1">
      <c r="A25" s="423" t="s">
        <v>917</v>
      </c>
      <c r="G25" s="108"/>
      <c r="J25" s="108"/>
      <c r="K25" s="108"/>
      <c r="L25" s="108"/>
      <c r="M25" s="108"/>
      <c r="N25" s="108"/>
      <c r="O25" s="108"/>
      <c r="P25" s="108"/>
      <c r="Q25" s="108"/>
      <c r="U25" s="362"/>
      <c r="X25" s="862"/>
      <c r="Y25" s="389"/>
    </row>
    <row r="26" spans="1:25" s="380" customFormat="1">
      <c r="A26" s="380" t="s">
        <v>237</v>
      </c>
      <c r="D26" s="203">
        <f>D13</f>
        <v>10</v>
      </c>
      <c r="E26" s="202">
        <f>F26-D26</f>
        <v>0</v>
      </c>
      <c r="F26" s="203">
        <f>F13</f>
        <v>10</v>
      </c>
      <c r="G26" s="198"/>
      <c r="H26" s="203"/>
      <c r="J26" s="198">
        <f>IF(ROUND(M26-F26,5)&lt;&gt;ROUND(N26-D26,5),#VALUE!,N26-D26)</f>
        <v>0</v>
      </c>
      <c r="K26" s="198"/>
      <c r="L26" s="198"/>
      <c r="M26" s="198">
        <f>M13</f>
        <v>10</v>
      </c>
      <c r="N26" s="198">
        <f>N13</f>
        <v>10</v>
      </c>
      <c r="O26" s="198"/>
      <c r="P26" s="198"/>
      <c r="Q26" s="198">
        <f>N26</f>
        <v>10</v>
      </c>
      <c r="R26" s="316">
        <f>J26/D26</f>
        <v>0</v>
      </c>
      <c r="S26" s="316">
        <f>J26/F26</f>
        <v>0</v>
      </c>
      <c r="T26" s="316"/>
      <c r="U26" s="363"/>
      <c r="V26" s="363"/>
      <c r="X26" s="862"/>
      <c r="Y26" s="389"/>
    </row>
    <row r="27" spans="1:25" s="380" customFormat="1">
      <c r="A27" s="380" t="s">
        <v>301</v>
      </c>
      <c r="G27" s="108"/>
      <c r="J27" s="108"/>
      <c r="K27" s="108"/>
      <c r="L27" s="108"/>
      <c r="M27" s="108"/>
      <c r="N27" s="108"/>
      <c r="O27" s="108"/>
      <c r="P27" s="108"/>
      <c r="Q27" s="108"/>
      <c r="U27" s="363"/>
      <c r="V27" s="363"/>
      <c r="X27" s="862"/>
      <c r="Y27" s="389"/>
    </row>
    <row r="28" spans="1:25" s="380" customFormat="1">
      <c r="A28" s="289" t="s">
        <v>770</v>
      </c>
      <c r="D28" s="201">
        <v>0.19753999999999999</v>
      </c>
      <c r="E28" s="201">
        <f>E15</f>
        <v>9.2900000000000066E-3</v>
      </c>
      <c r="F28" s="201">
        <f>D28+E28</f>
        <v>0.20683000000000001</v>
      </c>
      <c r="G28" s="317"/>
      <c r="H28" s="201">
        <f>F28+G28</f>
        <v>0.20683000000000001</v>
      </c>
      <c r="I28" s="201"/>
      <c r="J28" s="199">
        <f>N28-D28</f>
        <v>3.3456264988009632E-2</v>
      </c>
      <c r="K28" s="199">
        <v>0</v>
      </c>
      <c r="L28" s="199">
        <f>L15</f>
        <v>-6.5399999999999998E-3</v>
      </c>
      <c r="M28" s="199">
        <f>F28+J28+K28+L28</f>
        <v>0.23374626498800966</v>
      </c>
      <c r="N28" s="317">
        <f>D28*(1+R15)</f>
        <v>0.23099626498800963</v>
      </c>
      <c r="O28" s="317" t="e">
        <f>#REF!</f>
        <v>#REF!</v>
      </c>
      <c r="P28" s="317">
        <f>0.00164+0.00083</f>
        <v>2.47E-3</v>
      </c>
      <c r="Q28" s="317" t="e">
        <f>M28+O28+P28</f>
        <v>#REF!</v>
      </c>
      <c r="R28" s="316">
        <f>J28/D28</f>
        <v>0.16936450839328557</v>
      </c>
      <c r="S28" s="316">
        <f>(J28+L28)/F28</f>
        <v>0.13013714155591369</v>
      </c>
      <c r="U28" s="201">
        <f>D28+E28-F28</f>
        <v>0</v>
      </c>
      <c r="V28" s="201">
        <f>D28+J28-N28</f>
        <v>0</v>
      </c>
      <c r="W28" s="201">
        <f>F28+G28+J28+K28+L28-M28</f>
        <v>0</v>
      </c>
      <c r="X28" s="862"/>
      <c r="Y28" s="389"/>
    </row>
    <row r="29" spans="1:25" s="380" customFormat="1">
      <c r="A29" s="289" t="s">
        <v>771</v>
      </c>
      <c r="D29" s="201">
        <v>7.1050000000000002E-2</v>
      </c>
      <c r="E29" s="201">
        <f t="shared" ref="E29:E30" si="4">E16</f>
        <v>9.2899999999999927E-3</v>
      </c>
      <c r="F29" s="201">
        <f>D29+E29</f>
        <v>8.0339999999999995E-2</v>
      </c>
      <c r="G29" s="317"/>
      <c r="H29" s="201">
        <f>F29+G29</f>
        <v>8.0339999999999995E-2</v>
      </c>
      <c r="I29" s="201"/>
      <c r="J29" s="199">
        <f>N29-D29</f>
        <v>1.2036023471383619E-2</v>
      </c>
      <c r="K29" s="199">
        <f>K28</f>
        <v>0</v>
      </c>
      <c r="L29" s="199">
        <f>L15</f>
        <v>-6.5399999999999998E-3</v>
      </c>
      <c r="M29" s="199">
        <f t="shared" ref="M29" si="5">F29+J29+K29+L29</f>
        <v>8.583602347138361E-2</v>
      </c>
      <c r="N29" s="317">
        <f t="shared" ref="N29:N30" si="6">D29*(1+R16)</f>
        <v>8.3086023471383622E-2</v>
      </c>
      <c r="O29" s="317" t="e">
        <f>O28</f>
        <v>#REF!</v>
      </c>
      <c r="P29" s="317">
        <f>P28</f>
        <v>2.47E-3</v>
      </c>
      <c r="Q29" s="317" t="e">
        <f>M29+O29</f>
        <v>#REF!</v>
      </c>
      <c r="R29" s="316">
        <f>J29/D29</f>
        <v>0.16940216004762307</v>
      </c>
      <c r="S29" s="316">
        <f t="shared" ref="S29:S30" si="7">(J29+L29)/F29</f>
        <v>6.8409552792925321E-2</v>
      </c>
      <c r="U29" s="201">
        <f>D29+E29-F29</f>
        <v>0</v>
      </c>
      <c r="V29" s="201">
        <f>D29+J29-N29</f>
        <v>0</v>
      </c>
      <c r="W29" s="201">
        <f>F29+G29+J29+K29+L29-M29</f>
        <v>0</v>
      </c>
      <c r="X29" s="862"/>
      <c r="Y29" s="389"/>
    </row>
    <row r="30" spans="1:25" s="380" customFormat="1">
      <c r="A30" s="289" t="s">
        <v>918</v>
      </c>
      <c r="D30" s="201">
        <v>4.7370000000000002E-2</v>
      </c>
      <c r="E30" s="201">
        <f t="shared" si="4"/>
        <v>9.2900000000000205E-3</v>
      </c>
      <c r="F30" s="201">
        <f>D30+E30</f>
        <v>5.6660000000000023E-2</v>
      </c>
      <c r="G30" s="317"/>
      <c r="H30" s="201">
        <f>F30+G30</f>
        <v>5.6660000000000023E-2</v>
      </c>
      <c r="I30" s="201"/>
      <c r="J30" s="199">
        <f>N30-D30</f>
        <v>8.027774902975425E-3</v>
      </c>
      <c r="K30" s="199">
        <f>K29</f>
        <v>0</v>
      </c>
      <c r="L30" s="199">
        <f>L15</f>
        <v>-6.5399999999999998E-3</v>
      </c>
      <c r="M30" s="199">
        <f>F30+J30+K30+L30</f>
        <v>5.8147774902975451E-2</v>
      </c>
      <c r="N30" s="317">
        <f t="shared" si="6"/>
        <v>5.5397774902975427E-2</v>
      </c>
      <c r="O30" s="317"/>
      <c r="P30" s="317"/>
      <c r="Q30" s="317"/>
      <c r="R30" s="316">
        <f>J30/D30</f>
        <v>0.16946959896507124</v>
      </c>
      <c r="S30" s="316">
        <f t="shared" si="7"/>
        <v>2.6257940398436722E-2</v>
      </c>
      <c r="U30" s="201">
        <f>D30+E30-F30</f>
        <v>0</v>
      </c>
      <c r="V30" s="201">
        <f>D30+J30-N30</f>
        <v>0</v>
      </c>
      <c r="W30" s="201">
        <f>F30+G30+J30+K30+L30-M30</f>
        <v>0</v>
      </c>
      <c r="X30" s="862"/>
      <c r="Y30" s="389"/>
    </row>
    <row r="31" spans="1:25" s="380" customFormat="1">
      <c r="A31" s="289"/>
      <c r="D31" s="201"/>
      <c r="E31" s="201"/>
      <c r="F31" s="201"/>
      <c r="G31" s="360"/>
      <c r="H31" s="201"/>
      <c r="I31" s="201"/>
      <c r="J31" s="199"/>
      <c r="K31" s="409"/>
      <c r="L31" s="199"/>
      <c r="M31" s="199"/>
      <c r="N31" s="360"/>
      <c r="O31" s="360"/>
      <c r="P31" s="360"/>
      <c r="Q31" s="317"/>
      <c r="R31" s="316"/>
      <c r="S31" s="316"/>
      <c r="U31" s="201"/>
      <c r="V31" s="201"/>
      <c r="W31" s="201"/>
      <c r="X31" s="862"/>
      <c r="Y31" s="389"/>
    </row>
    <row r="32" spans="1:25">
      <c r="A32" s="197" t="s">
        <v>302</v>
      </c>
      <c r="K32" s="199"/>
      <c r="N32" s="838"/>
      <c r="U32" s="201"/>
      <c r="V32" s="201"/>
      <c r="W32" s="201"/>
      <c r="X32" s="862"/>
      <c r="Y32" s="389"/>
    </row>
    <row r="33" spans="1:26">
      <c r="A33" s="43" t="s">
        <v>237</v>
      </c>
      <c r="D33" s="203">
        <f>'Rate Design'!E4</f>
        <v>25</v>
      </c>
      <c r="E33" s="202">
        <f>F33-D33</f>
        <v>0</v>
      </c>
      <c r="F33" s="203">
        <f>'Rate Design'!E14</f>
        <v>25</v>
      </c>
      <c r="G33" s="198"/>
      <c r="H33" s="203"/>
      <c r="J33" s="198">
        <f>IF(ROUND(M33-F33,5)&lt;&gt;ROUND(N33-D33,5),#VALUE!,N33-D33)</f>
        <v>5</v>
      </c>
      <c r="K33" s="199"/>
      <c r="L33" s="198"/>
      <c r="M33" s="198">
        <f>'Rate Design'!E36</f>
        <v>30</v>
      </c>
      <c r="N33" s="839">
        <f>'Rate Design'!E26</f>
        <v>30</v>
      </c>
      <c r="O33" s="198"/>
      <c r="P33" s="198"/>
      <c r="Q33" s="198">
        <f>N33</f>
        <v>30</v>
      </c>
      <c r="R33" s="316">
        <f>J33/D33</f>
        <v>0.2</v>
      </c>
      <c r="S33" s="316">
        <f>J33/F33</f>
        <v>0.2</v>
      </c>
      <c r="U33" s="201"/>
      <c r="V33" s="201"/>
      <c r="W33" s="201"/>
      <c r="X33" s="862"/>
      <c r="Y33" s="389"/>
    </row>
    <row r="34" spans="1:26">
      <c r="A34" s="43" t="s">
        <v>301</v>
      </c>
      <c r="K34" s="199"/>
      <c r="N34" s="838"/>
      <c r="U34" s="201"/>
      <c r="V34" s="201"/>
      <c r="W34" s="201"/>
      <c r="X34" s="862"/>
      <c r="Y34" s="389"/>
    </row>
    <row r="35" spans="1:26" ht="15">
      <c r="A35" s="289" t="str">
        <f>"First "&amp;TEXT('Rate Design'!R5,"#,##0")&amp;" kWhs"</f>
        <v>First 3,650 kWhs</v>
      </c>
      <c r="B35" s="868"/>
      <c r="D35" s="201">
        <f>'Rate Design'!E5/100</f>
        <v>0.12767000000000001</v>
      </c>
      <c r="E35" s="201">
        <f>F35-D35</f>
        <v>1.8990000000000007E-2</v>
      </c>
      <c r="F35" s="201">
        <f>'Rate Design'!E15/100</f>
        <v>0.14666000000000001</v>
      </c>
      <c r="G35" s="199"/>
      <c r="H35" s="201">
        <f>F35+G35</f>
        <v>0.14666000000000001</v>
      </c>
      <c r="I35" s="201"/>
      <c r="J35" s="199">
        <f>N35-D35</f>
        <v>8.2399999999999973E-3</v>
      </c>
      <c r="K35" s="199">
        <v>0</v>
      </c>
      <c r="L35" s="199">
        <f>-Colstrip!K17</f>
        <v>-3.2299999999999998E-3</v>
      </c>
      <c r="M35" s="199">
        <f>F35+J35+K35+L35</f>
        <v>0.15167</v>
      </c>
      <c r="N35" s="360">
        <f>'Rate Design'!E27/100</f>
        <v>0.13591</v>
      </c>
      <c r="O35" s="317" t="e">
        <f>O15</f>
        <v>#REF!</v>
      </c>
      <c r="P35" s="317">
        <f>P15</f>
        <v>2.47E-3</v>
      </c>
      <c r="Q35" s="317" t="e">
        <f>M35+O35</f>
        <v>#REF!</v>
      </c>
      <c r="R35" s="316">
        <f>J35/D35</f>
        <v>6.4541395786010786E-2</v>
      </c>
      <c r="S35" s="316">
        <f>(J35+L35)/F35</f>
        <v>3.4160643665621139E-2</v>
      </c>
      <c r="U35" s="201">
        <f>D35+E35-F35</f>
        <v>0</v>
      </c>
      <c r="V35" s="201">
        <f>D35+J35-N35</f>
        <v>0</v>
      </c>
      <c r="W35" s="201">
        <f>F35+G35+J35+K35+L35-M35</f>
        <v>0</v>
      </c>
      <c r="X35" s="862">
        <f>'Rate Design'!E37/100-'JDM-9 Pg 3'!M35</f>
        <v>3.2300000000000106E-3</v>
      </c>
      <c r="Y35" s="389"/>
      <c r="Z35" s="203"/>
    </row>
    <row r="36" spans="1:26">
      <c r="A36" s="289" t="str">
        <f>"All over "&amp;TEXT('Rate Design'!R5,"#,##0")&amp;" kWhs"</f>
        <v>All over 3,650 kWhs</v>
      </c>
      <c r="D36" s="201">
        <f>'Rate Design'!E6/100</f>
        <v>9.2929999999999999E-2</v>
      </c>
      <c r="E36" s="201">
        <f>F36-D36</f>
        <v>1.8990000000000021E-2</v>
      </c>
      <c r="F36" s="201">
        <f>'Rate Design'!E16/100</f>
        <v>0.11192000000000002</v>
      </c>
      <c r="G36" s="199"/>
      <c r="H36" s="201">
        <f>F36+G36</f>
        <v>0.11192000000000002</v>
      </c>
      <c r="I36" s="201"/>
      <c r="J36" s="199">
        <f>N36-D36</f>
        <v>6.0000000000000053E-3</v>
      </c>
      <c r="K36" s="199">
        <f>K35</f>
        <v>0</v>
      </c>
      <c r="L36" s="199">
        <f>L35</f>
        <v>-3.2299999999999998E-3</v>
      </c>
      <c r="M36" s="199">
        <f>F36+J36+K36+L36</f>
        <v>0.11469000000000003</v>
      </c>
      <c r="N36" s="360">
        <f>'Rate Design'!E28/100</f>
        <v>9.8930000000000004E-2</v>
      </c>
      <c r="O36" s="317" t="e">
        <f>O35</f>
        <v>#REF!</v>
      </c>
      <c r="P36" s="317">
        <f>P35</f>
        <v>2.47E-3</v>
      </c>
      <c r="Q36" s="317" t="e">
        <f>M36+O36</f>
        <v>#REF!</v>
      </c>
      <c r="R36" s="316">
        <f>J36/D36</f>
        <v>6.456472613795336E-2</v>
      </c>
      <c r="S36" s="316">
        <f>(J36+L36)/F36</f>
        <v>2.474982130092928E-2</v>
      </c>
      <c r="U36" s="201">
        <f>D36+E36-F36</f>
        <v>0</v>
      </c>
      <c r="V36" s="201">
        <f>D36+J36-N36</f>
        <v>0</v>
      </c>
      <c r="W36" s="201">
        <f>F36+G36+J36+K36+L36-M36</f>
        <v>0</v>
      </c>
      <c r="X36" s="862">
        <f>'Rate Design'!E38/100-'JDM-9 Pg 3'!M36</f>
        <v>3.2300000000000106E-3</v>
      </c>
      <c r="Y36" s="389"/>
    </row>
    <row r="37" spans="1:26">
      <c r="A37" s="43" t="s">
        <v>303</v>
      </c>
      <c r="K37" s="199"/>
      <c r="N37" s="838"/>
      <c r="U37" s="201"/>
      <c r="V37" s="201"/>
      <c r="W37" s="201"/>
      <c r="X37" s="862"/>
      <c r="Y37" s="389"/>
    </row>
    <row r="38" spans="1:26">
      <c r="A38" s="289" t="str">
        <f>TEXT('Rate Design'!R10,"#,##0")&amp;" kW or less"</f>
        <v>20 kW or less</v>
      </c>
      <c r="D38" s="206" t="s">
        <v>304</v>
      </c>
      <c r="E38" s="205"/>
      <c r="F38" s="206" t="s">
        <v>304</v>
      </c>
      <c r="H38" s="206"/>
      <c r="J38" s="69" t="s">
        <v>304</v>
      </c>
      <c r="K38" s="406"/>
      <c r="N38" s="840" t="s">
        <v>304</v>
      </c>
      <c r="O38" s="69"/>
      <c r="P38" s="69"/>
      <c r="Q38" s="69" t="s">
        <v>304</v>
      </c>
      <c r="U38" s="201"/>
      <c r="V38" s="201"/>
      <c r="W38" s="201"/>
      <c r="X38" s="862"/>
      <c r="Y38" s="389"/>
    </row>
    <row r="39" spans="1:26">
      <c r="A39" s="289" t="str">
        <f>"Over "&amp;TEXT('Rate Design'!R10,"#,##0")&amp;" kW"</f>
        <v>Over 20 kW</v>
      </c>
      <c r="D39" s="204">
        <f>'Rate Design'!E10</f>
        <v>9</v>
      </c>
      <c r="E39" s="204">
        <f>F39-D39</f>
        <v>0</v>
      </c>
      <c r="F39" s="204">
        <f>'Rate Design'!E20</f>
        <v>9</v>
      </c>
      <c r="G39" s="204"/>
      <c r="H39" s="204"/>
      <c r="J39" s="204">
        <f>IF(ROUND(M39-F39,5)&lt;&gt;ROUND(N39-D39,5),#VALUE!,N39-D39)</f>
        <v>1</v>
      </c>
      <c r="K39" s="408"/>
      <c r="L39" s="204"/>
      <c r="M39" s="204">
        <f>'Rate Design'!E42</f>
        <v>10</v>
      </c>
      <c r="N39" s="841">
        <f>'Rate Design'!E32</f>
        <v>10</v>
      </c>
      <c r="O39" s="204"/>
      <c r="P39" s="204"/>
      <c r="Q39" s="204">
        <f>'Rate Design'!E32</f>
        <v>10</v>
      </c>
      <c r="R39" s="316">
        <f>J39/D39</f>
        <v>0.1111111111111111</v>
      </c>
      <c r="S39" s="316">
        <f>J39/F39</f>
        <v>0.1111111111111111</v>
      </c>
      <c r="U39" s="201"/>
      <c r="V39" s="201"/>
      <c r="W39" s="201"/>
      <c r="X39" s="862"/>
      <c r="Y39" s="389"/>
    </row>
    <row r="40" spans="1:26" s="380" customFormat="1">
      <c r="A40" s="380" t="s">
        <v>518</v>
      </c>
      <c r="D40" s="499" t="s">
        <v>894</v>
      </c>
      <c r="E40" s="204"/>
      <c r="F40" s="204"/>
      <c r="G40" s="204"/>
      <c r="H40" s="204"/>
      <c r="J40" s="462"/>
      <c r="K40" s="408"/>
      <c r="L40" s="204"/>
      <c r="M40" s="499" t="s">
        <v>909</v>
      </c>
      <c r="N40" s="841"/>
      <c r="O40" s="204"/>
      <c r="P40" s="204"/>
      <c r="Q40" s="204"/>
      <c r="R40" s="316"/>
      <c r="S40" s="316"/>
      <c r="U40" s="201"/>
      <c r="V40" s="201"/>
      <c r="W40" s="201"/>
      <c r="X40" s="862"/>
      <c r="Y40" s="389"/>
    </row>
    <row r="41" spans="1:26">
      <c r="D41" s="499" t="s">
        <v>895</v>
      </c>
      <c r="K41" s="199"/>
      <c r="M41" s="499" t="s">
        <v>910</v>
      </c>
      <c r="N41" s="838"/>
      <c r="U41" s="201"/>
      <c r="V41" s="201"/>
      <c r="W41" s="201"/>
      <c r="X41" s="862"/>
      <c r="Y41" s="389"/>
    </row>
    <row r="42" spans="1:26" s="380" customFormat="1">
      <c r="D42" s="463"/>
      <c r="G42" s="108"/>
      <c r="J42" s="108"/>
      <c r="K42" s="199"/>
      <c r="L42" s="108"/>
      <c r="M42" s="463"/>
      <c r="N42" s="838"/>
      <c r="O42" s="108"/>
      <c r="P42" s="108"/>
      <c r="Q42" s="108"/>
      <c r="U42" s="201"/>
      <c r="V42" s="201"/>
      <c r="W42" s="201"/>
      <c r="X42" s="862"/>
      <c r="Y42" s="389"/>
    </row>
    <row r="43" spans="1:26" s="380" customFormat="1">
      <c r="A43" s="423" t="s">
        <v>768</v>
      </c>
      <c r="G43" s="108"/>
      <c r="J43" s="108"/>
      <c r="K43" s="199"/>
      <c r="L43" s="108"/>
      <c r="M43" s="108"/>
      <c r="N43" s="838"/>
      <c r="O43" s="108"/>
      <c r="P43" s="108"/>
      <c r="Q43" s="108"/>
      <c r="U43" s="201"/>
      <c r="V43" s="201"/>
      <c r="W43" s="201"/>
      <c r="X43" s="862"/>
      <c r="Y43" s="389"/>
    </row>
    <row r="44" spans="1:26" s="380" customFormat="1">
      <c r="A44" s="380" t="s">
        <v>237</v>
      </c>
      <c r="D44" s="203">
        <f>'Rate Design'!F4</f>
        <v>25</v>
      </c>
      <c r="E44" s="202">
        <f>F44-D44</f>
        <v>0</v>
      </c>
      <c r="F44" s="203">
        <f>'Rate Design'!F14</f>
        <v>25</v>
      </c>
      <c r="G44" s="198"/>
      <c r="H44" s="203"/>
      <c r="J44" s="198">
        <f>IF(ROUND(M44-F44,5)&lt;&gt;ROUND(N44-D44,5),#VALUE!,N44-D44)</f>
        <v>5</v>
      </c>
      <c r="K44" s="199"/>
      <c r="L44" s="198"/>
      <c r="M44" s="198">
        <f>'Rate Design'!F36</f>
        <v>30</v>
      </c>
      <c r="N44" s="839">
        <f>'Rate Design'!F26</f>
        <v>30</v>
      </c>
      <c r="O44" s="198"/>
      <c r="P44" s="198"/>
      <c r="Q44" s="198">
        <f>N44</f>
        <v>30</v>
      </c>
      <c r="R44" s="316">
        <f>J44/D44</f>
        <v>0.2</v>
      </c>
      <c r="S44" s="316">
        <f>J44/F44</f>
        <v>0.2</v>
      </c>
      <c r="U44" s="201"/>
      <c r="V44" s="201"/>
      <c r="W44" s="201"/>
      <c r="X44" s="862"/>
      <c r="Y44" s="389"/>
    </row>
    <row r="45" spans="1:26" s="380" customFormat="1">
      <c r="A45" s="380" t="s">
        <v>301</v>
      </c>
      <c r="G45" s="108"/>
      <c r="J45" s="108"/>
      <c r="K45" s="199"/>
      <c r="L45" s="108"/>
      <c r="M45" s="108"/>
      <c r="N45" s="838"/>
      <c r="O45" s="108"/>
      <c r="P45" s="108"/>
      <c r="Q45" s="108"/>
      <c r="U45" s="201"/>
      <c r="V45" s="201"/>
      <c r="W45" s="201"/>
      <c r="X45" s="862"/>
      <c r="Y45" s="389"/>
    </row>
    <row r="46" spans="1:26" s="380" customFormat="1">
      <c r="A46" s="289" t="s">
        <v>770</v>
      </c>
      <c r="D46" s="201">
        <f>'Rate Design'!F5/100</f>
        <v>0.23573</v>
      </c>
      <c r="E46" s="201">
        <f>F46-D46</f>
        <v>1.8990000000000007E-2</v>
      </c>
      <c r="F46" s="201">
        <f>'Rate Design'!F15/100</f>
        <v>0.25472</v>
      </c>
      <c r="G46" s="199"/>
      <c r="H46" s="201">
        <f>F46+G46</f>
        <v>0.25472</v>
      </c>
      <c r="I46" s="201"/>
      <c r="J46" s="199">
        <f>N46-D46</f>
        <v>2.4080000000000046E-2</v>
      </c>
      <c r="K46" s="199">
        <v>0</v>
      </c>
      <c r="L46" s="199">
        <f>L35</f>
        <v>-3.2299999999999998E-3</v>
      </c>
      <c r="M46" s="199">
        <f>F46+J46+K46+L46</f>
        <v>0.27557000000000004</v>
      </c>
      <c r="N46" s="360">
        <f>'Rate Design'!F27/100</f>
        <v>0.25981000000000004</v>
      </c>
      <c r="O46" s="317">
        <f>O39</f>
        <v>0</v>
      </c>
      <c r="P46" s="317">
        <f>P39</f>
        <v>0</v>
      </c>
      <c r="Q46" s="317">
        <f>M46+O46</f>
        <v>0.27557000000000004</v>
      </c>
      <c r="R46" s="316">
        <f>J46/D46</f>
        <v>0.10215076570652885</v>
      </c>
      <c r="S46" s="316">
        <f>(J46+L46)/F46</f>
        <v>8.1854585427135862E-2</v>
      </c>
      <c r="U46" s="201">
        <f>D46+E46-F46</f>
        <v>0</v>
      </c>
      <c r="V46" s="201">
        <f>D46+J46-N46</f>
        <v>0</v>
      </c>
      <c r="W46" s="201">
        <f>F46+G46+J46+K46+L46-M46</f>
        <v>0</v>
      </c>
      <c r="X46" s="862">
        <f>'Rate Design'!F37/100-'JDM-9 Pg 3'!M46</f>
        <v>3.2299999999999551E-3</v>
      </c>
      <c r="Y46" s="389"/>
    </row>
    <row r="47" spans="1:26" s="380" customFormat="1">
      <c r="A47" s="289" t="s">
        <v>771</v>
      </c>
      <c r="D47" s="201">
        <f>'Rate Design'!F6/100</f>
        <v>9.3870000000000009E-2</v>
      </c>
      <c r="E47" s="201">
        <f>F47-D47</f>
        <v>1.8990000000000021E-2</v>
      </c>
      <c r="F47" s="201">
        <f>'Rate Design'!F16/100</f>
        <v>0.11286000000000003</v>
      </c>
      <c r="G47" s="199"/>
      <c r="H47" s="201">
        <f>F47+G47</f>
        <v>0.11286000000000003</v>
      </c>
      <c r="I47" s="201"/>
      <c r="J47" s="199">
        <f>N47-D47</f>
        <v>9.5899999999999874E-3</v>
      </c>
      <c r="K47" s="199">
        <f>K46</f>
        <v>0</v>
      </c>
      <c r="L47" s="199">
        <f>L35</f>
        <v>-3.2299999999999998E-3</v>
      </c>
      <c r="M47" s="199">
        <f>F47+J47+K47+L47</f>
        <v>0.11922000000000002</v>
      </c>
      <c r="N47" s="360">
        <f>'Rate Design'!F28/100</f>
        <v>0.10346</v>
      </c>
      <c r="O47" s="317">
        <f>O46</f>
        <v>0</v>
      </c>
      <c r="P47" s="317">
        <f>P46</f>
        <v>0</v>
      </c>
      <c r="Q47" s="317">
        <f>M47+O47</f>
        <v>0.11922000000000002</v>
      </c>
      <c r="R47" s="316">
        <f>J47/D47</f>
        <v>0.10216256524981343</v>
      </c>
      <c r="S47" s="316">
        <f>(J47+L47)/F47</f>
        <v>5.6353003721424648E-2</v>
      </c>
      <c r="U47" s="201">
        <f>D47+E47-F47</f>
        <v>0</v>
      </c>
      <c r="V47" s="201">
        <f>D47+J47-N47</f>
        <v>0</v>
      </c>
      <c r="W47" s="201">
        <f>F47+G47+J47+K47+L47-M47</f>
        <v>0</v>
      </c>
      <c r="X47" s="862">
        <f>'Rate Design'!F38/100-'JDM-9 Pg 3'!M47</f>
        <v>3.2300000000000106E-3</v>
      </c>
      <c r="Y47" s="389"/>
    </row>
    <row r="48" spans="1:26" s="380" customFormat="1">
      <c r="A48" s="380" t="s">
        <v>518</v>
      </c>
      <c r="D48" s="499" t="s">
        <v>894</v>
      </c>
      <c r="E48" s="204"/>
      <c r="F48" s="204"/>
      <c r="G48" s="204"/>
      <c r="H48" s="204"/>
      <c r="J48" s="462"/>
      <c r="K48" s="408"/>
      <c r="L48" s="204"/>
      <c r="M48" s="499" t="s">
        <v>909</v>
      </c>
      <c r="N48" s="841"/>
      <c r="O48" s="204"/>
      <c r="P48" s="204"/>
      <c r="Q48" s="204"/>
      <c r="R48" s="316"/>
      <c r="S48" s="316"/>
      <c r="U48" s="201"/>
      <c r="V48" s="201"/>
      <c r="W48" s="201"/>
      <c r="X48" s="862"/>
      <c r="Y48" s="389"/>
    </row>
    <row r="49" spans="1:25" s="380" customFormat="1">
      <c r="D49" s="499" t="s">
        <v>895</v>
      </c>
      <c r="G49" s="108"/>
      <c r="J49" s="108"/>
      <c r="K49" s="199"/>
      <c r="L49" s="108"/>
      <c r="M49" s="499" t="s">
        <v>910</v>
      </c>
      <c r="N49" s="838"/>
      <c r="O49" s="108"/>
      <c r="P49" s="108"/>
      <c r="Q49" s="108"/>
      <c r="U49" s="201"/>
      <c r="V49" s="201"/>
      <c r="W49" s="201"/>
      <c r="X49" s="862"/>
      <c r="Y49" s="389"/>
    </row>
    <row r="50" spans="1:25" s="380" customFormat="1">
      <c r="D50" s="499"/>
      <c r="G50" s="108"/>
      <c r="J50" s="108"/>
      <c r="K50" s="199"/>
      <c r="L50" s="108"/>
      <c r="M50" s="499"/>
      <c r="N50" s="838"/>
      <c r="O50" s="108"/>
      <c r="P50" s="108"/>
      <c r="Q50" s="108"/>
      <c r="U50" s="201"/>
      <c r="V50" s="201"/>
      <c r="W50" s="201"/>
      <c r="X50" s="862"/>
      <c r="Y50" s="389"/>
    </row>
    <row r="51" spans="1:25" s="380" customFormat="1">
      <c r="A51" s="423" t="s">
        <v>919</v>
      </c>
      <c r="G51" s="108"/>
      <c r="J51" s="108"/>
      <c r="K51" s="108"/>
      <c r="L51" s="108"/>
      <c r="M51" s="108"/>
      <c r="N51" s="108"/>
      <c r="O51" s="108"/>
      <c r="P51" s="108"/>
      <c r="Q51" s="108"/>
      <c r="U51" s="362"/>
      <c r="X51" s="862"/>
      <c r="Y51" s="389"/>
    </row>
    <row r="52" spans="1:25" s="380" customFormat="1">
      <c r="A52" s="380" t="s">
        <v>237</v>
      </c>
      <c r="D52" s="203">
        <f>D33</f>
        <v>25</v>
      </c>
      <c r="E52" s="202">
        <f>F52-D52</f>
        <v>0</v>
      </c>
      <c r="F52" s="203">
        <f>F33</f>
        <v>25</v>
      </c>
      <c r="G52" s="198"/>
      <c r="H52" s="203"/>
      <c r="J52" s="198">
        <f>IF(ROUND(M52-F52,5)&lt;&gt;ROUND(N52-D52,5),#VALUE!,N52-D52)</f>
        <v>5</v>
      </c>
      <c r="K52" s="198"/>
      <c r="L52" s="198"/>
      <c r="M52" s="198">
        <f>M33</f>
        <v>30</v>
      </c>
      <c r="N52" s="198">
        <f>N33</f>
        <v>30</v>
      </c>
      <c r="O52" s="198"/>
      <c r="P52" s="198"/>
      <c r="Q52" s="198">
        <f>N52</f>
        <v>30</v>
      </c>
      <c r="R52" s="316">
        <f>J52/D52</f>
        <v>0.2</v>
      </c>
      <c r="S52" s="316">
        <f>J52/F52</f>
        <v>0.2</v>
      </c>
      <c r="T52" s="316"/>
      <c r="U52" s="363"/>
      <c r="V52" s="363"/>
      <c r="X52" s="862"/>
      <c r="Y52" s="389"/>
    </row>
    <row r="53" spans="1:25" s="380" customFormat="1">
      <c r="A53" s="380" t="s">
        <v>301</v>
      </c>
      <c r="G53" s="108"/>
      <c r="J53" s="108"/>
      <c r="K53" s="108"/>
      <c r="L53" s="108"/>
      <c r="M53" s="108"/>
      <c r="N53" s="108"/>
      <c r="O53" s="108"/>
      <c r="P53" s="108"/>
      <c r="Q53" s="108"/>
      <c r="U53" s="363"/>
      <c r="V53" s="363"/>
      <c r="X53" s="862"/>
      <c r="Y53" s="389"/>
    </row>
    <row r="54" spans="1:25" s="380" customFormat="1">
      <c r="A54" s="289" t="s">
        <v>770</v>
      </c>
      <c r="D54" s="201">
        <v>0.25780999999999998</v>
      </c>
      <c r="E54" s="201">
        <f>E35</f>
        <v>1.8990000000000007E-2</v>
      </c>
      <c r="F54" s="201">
        <f>D54+E54</f>
        <v>0.27679999999999999</v>
      </c>
      <c r="G54" s="317"/>
      <c r="H54" s="201">
        <f>F54+G54</f>
        <v>0.27679999999999999</v>
      </c>
      <c r="I54" s="201"/>
      <c r="J54" s="199">
        <f>N54-D54</f>
        <v>1.6639417247591437E-2</v>
      </c>
      <c r="K54" s="199">
        <v>0</v>
      </c>
      <c r="L54" s="199">
        <f>L46</f>
        <v>-3.2299999999999998E-3</v>
      </c>
      <c r="M54" s="199">
        <f>F54+J54+K54+L54</f>
        <v>0.29020941724759142</v>
      </c>
      <c r="N54" s="317">
        <f>D54*(1+R35)</f>
        <v>0.27444941724759142</v>
      </c>
      <c r="O54" s="317" t="e">
        <f>#REF!</f>
        <v>#REF!</v>
      </c>
      <c r="P54" s="317">
        <f>0.00164+0.00083</f>
        <v>2.47E-3</v>
      </c>
      <c r="Q54" s="317" t="e">
        <f>M54+O54+P54</f>
        <v>#REF!</v>
      </c>
      <c r="R54" s="316">
        <f>J54/D54</f>
        <v>6.4541395786010772E-2</v>
      </c>
      <c r="S54" s="316">
        <f>(J54+L54)/F54</f>
        <v>4.8444426472512417E-2</v>
      </c>
      <c r="U54" s="201">
        <f>D54+E54-F54</f>
        <v>0</v>
      </c>
      <c r="V54" s="201">
        <f>D54+J54-N54</f>
        <v>0</v>
      </c>
      <c r="W54" s="201">
        <f>F54+G54+J54+K54+L54-M54</f>
        <v>0</v>
      </c>
      <c r="X54" s="862"/>
      <c r="Y54" s="389"/>
    </row>
    <row r="55" spans="1:25" s="380" customFormat="1">
      <c r="A55" s="289" t="s">
        <v>771</v>
      </c>
      <c r="D55" s="201">
        <v>0.10264</v>
      </c>
      <c r="E55" s="201">
        <f>E36</f>
        <v>1.8990000000000021E-2</v>
      </c>
      <c r="F55" s="201">
        <f>D55+E55</f>
        <v>0.12163000000000002</v>
      </c>
      <c r="G55" s="317"/>
      <c r="H55" s="201">
        <f>F55+G55</f>
        <v>0.12163000000000002</v>
      </c>
      <c r="I55" s="201"/>
      <c r="J55" s="199">
        <f>N55-D55</f>
        <v>6.6269234907995328E-3</v>
      </c>
      <c r="K55" s="199">
        <f>K54</f>
        <v>0</v>
      </c>
      <c r="L55" s="199">
        <f>L46</f>
        <v>-3.2299999999999998E-3</v>
      </c>
      <c r="M55" s="199">
        <f t="shared" ref="M55" si="8">F55+J55+K55+L55</f>
        <v>0.12502692349079952</v>
      </c>
      <c r="N55" s="317">
        <f>D55*(1+R36)</f>
        <v>0.10926692349079953</v>
      </c>
      <c r="O55" s="317" t="e">
        <f>O54</f>
        <v>#REF!</v>
      </c>
      <c r="P55" s="317">
        <f>P54</f>
        <v>2.47E-3</v>
      </c>
      <c r="Q55" s="317" t="e">
        <f>M55+O55</f>
        <v>#REF!</v>
      </c>
      <c r="R55" s="316">
        <f>J55/D55</f>
        <v>6.456472613795336E-2</v>
      </c>
      <c r="S55" s="316">
        <f t="shared" ref="S55" si="9">(J55+L55)/F55</f>
        <v>2.7928335861214605E-2</v>
      </c>
      <c r="U55" s="201">
        <f>D55+E55-F55</f>
        <v>0</v>
      </c>
      <c r="V55" s="201">
        <f>D55+J55-N55</f>
        <v>0</v>
      </c>
      <c r="W55" s="201">
        <f>F55+G55+J55+K55+L55-M55</f>
        <v>0</v>
      </c>
      <c r="X55" s="862"/>
      <c r="Y55" s="389"/>
    </row>
    <row r="56" spans="1:25" s="380" customFormat="1">
      <c r="A56" s="289"/>
      <c r="D56" s="201"/>
      <c r="E56" s="201"/>
      <c r="F56" s="201"/>
      <c r="G56" s="317"/>
      <c r="H56" s="201"/>
      <c r="I56" s="201"/>
      <c r="J56" s="199"/>
      <c r="K56" s="199"/>
      <c r="L56" s="199"/>
      <c r="M56" s="199"/>
      <c r="N56" s="317"/>
      <c r="O56" s="317"/>
      <c r="P56" s="317"/>
      <c r="Q56" s="317"/>
      <c r="R56" s="316"/>
      <c r="S56" s="316"/>
      <c r="U56" s="201"/>
      <c r="V56" s="201"/>
      <c r="W56" s="201"/>
      <c r="X56" s="862"/>
      <c r="Y56" s="389"/>
    </row>
    <row r="57" spans="1:25" s="380" customFormat="1">
      <c r="A57" s="423" t="s">
        <v>920</v>
      </c>
      <c r="G57" s="108"/>
      <c r="J57" s="108"/>
      <c r="K57" s="108"/>
      <c r="L57" s="108"/>
      <c r="M57" s="108"/>
      <c r="N57" s="108"/>
      <c r="O57" s="108"/>
      <c r="P57" s="108"/>
      <c r="Q57" s="108"/>
      <c r="U57" s="362"/>
      <c r="X57" s="862"/>
      <c r="Y57" s="389"/>
    </row>
    <row r="58" spans="1:25" s="380" customFormat="1">
      <c r="A58" s="380" t="s">
        <v>237</v>
      </c>
      <c r="D58" s="203">
        <f>D33</f>
        <v>25</v>
      </c>
      <c r="E58" s="202">
        <f>F58-D58</f>
        <v>0</v>
      </c>
      <c r="F58" s="203">
        <f>F33</f>
        <v>25</v>
      </c>
      <c r="G58" s="198"/>
      <c r="H58" s="203"/>
      <c r="J58" s="198">
        <f>IF(ROUND(M58-F58,5)&lt;&gt;ROUND(N58-D58,5),#VALUE!,N58-D58)</f>
        <v>5</v>
      </c>
      <c r="K58" s="198"/>
      <c r="L58" s="198"/>
      <c r="M58" s="198">
        <f>M33</f>
        <v>30</v>
      </c>
      <c r="N58" s="198">
        <f>N33</f>
        <v>30</v>
      </c>
      <c r="O58" s="198"/>
      <c r="P58" s="198"/>
      <c r="Q58" s="198">
        <f>N58</f>
        <v>30</v>
      </c>
      <c r="R58" s="316">
        <f>J58/D58</f>
        <v>0.2</v>
      </c>
      <c r="S58" s="316">
        <f>J58/F58</f>
        <v>0.2</v>
      </c>
      <c r="T58" s="316"/>
      <c r="U58" s="363"/>
      <c r="V58" s="363"/>
      <c r="X58" s="862"/>
      <c r="Y58" s="389"/>
    </row>
    <row r="59" spans="1:25" s="380" customFormat="1">
      <c r="A59" s="380" t="s">
        <v>301</v>
      </c>
      <c r="G59" s="108"/>
      <c r="J59" s="108"/>
      <c r="K59" s="108"/>
      <c r="L59" s="108"/>
      <c r="M59" s="108"/>
      <c r="N59" s="108"/>
      <c r="O59" s="108"/>
      <c r="P59" s="108"/>
      <c r="Q59" s="108"/>
      <c r="U59" s="363"/>
      <c r="V59" s="363"/>
      <c r="X59" s="862"/>
      <c r="Y59" s="389"/>
    </row>
    <row r="60" spans="1:25" s="380" customFormat="1">
      <c r="A60" s="289" t="s">
        <v>770</v>
      </c>
      <c r="D60" s="201">
        <v>0.21643999999999999</v>
      </c>
      <c r="E60" s="201">
        <f>E35</f>
        <v>1.8990000000000007E-2</v>
      </c>
      <c r="F60" s="201">
        <f>D60+E60</f>
        <v>0.23543</v>
      </c>
      <c r="G60" s="317"/>
      <c r="H60" s="201">
        <f>F60+G60</f>
        <v>0.23543</v>
      </c>
      <c r="I60" s="201"/>
      <c r="J60" s="199">
        <f>N60-D60</f>
        <v>1.3969339703924166E-2</v>
      </c>
      <c r="K60" s="199">
        <v>0</v>
      </c>
      <c r="L60" s="199">
        <f>L46</f>
        <v>-3.2299999999999998E-3</v>
      </c>
      <c r="M60" s="199">
        <f>F60+J60+K60+L60</f>
        <v>0.24616933970392416</v>
      </c>
      <c r="N60" s="317">
        <f>D60*(1+R35)</f>
        <v>0.23040933970392416</v>
      </c>
      <c r="O60" s="317" t="e">
        <f>#REF!</f>
        <v>#REF!</v>
      </c>
      <c r="P60" s="317">
        <f>0.00164+0.00083</f>
        <v>2.47E-3</v>
      </c>
      <c r="Q60" s="317" t="e">
        <f>M60+O60+P60</f>
        <v>#REF!</v>
      </c>
      <c r="R60" s="316">
        <f>J60/D60</f>
        <v>6.4541395786010744E-2</v>
      </c>
      <c r="S60" s="316">
        <f>(J60+L60)/F60</f>
        <v>4.5615850587963157E-2</v>
      </c>
      <c r="U60" s="201">
        <f>D60+E60-F60</f>
        <v>0</v>
      </c>
      <c r="V60" s="201">
        <f>D60+J60-N60</f>
        <v>0</v>
      </c>
      <c r="W60" s="201">
        <f>F60+G60+J60+K60+L60-M60</f>
        <v>0</v>
      </c>
      <c r="X60" s="862"/>
      <c r="Y60" s="389"/>
    </row>
    <row r="61" spans="1:25" s="380" customFormat="1">
      <c r="A61" s="289" t="s">
        <v>771</v>
      </c>
      <c r="D61" s="201">
        <v>0.10264</v>
      </c>
      <c r="E61" s="201">
        <f>E35</f>
        <v>1.8990000000000007E-2</v>
      </c>
      <c r="F61" s="201">
        <f>D61+E61</f>
        <v>0.12163</v>
      </c>
      <c r="G61" s="317"/>
      <c r="H61" s="201">
        <f>F61+G61</f>
        <v>0.12163</v>
      </c>
      <c r="I61" s="201"/>
      <c r="J61" s="199">
        <f>N61-D61</f>
        <v>6.6245288634761562E-3</v>
      </c>
      <c r="K61" s="199">
        <f>K60</f>
        <v>0</v>
      </c>
      <c r="L61" s="199">
        <f>L46</f>
        <v>-3.2299999999999998E-3</v>
      </c>
      <c r="M61" s="199">
        <f t="shared" ref="M61" si="10">F61+J61+K61+L61</f>
        <v>0.12502452886347615</v>
      </c>
      <c r="N61" s="317">
        <f>D61*(1+R35)</f>
        <v>0.10926452886347615</v>
      </c>
      <c r="O61" s="317" t="e">
        <f>O60</f>
        <v>#REF!</v>
      </c>
      <c r="P61" s="317">
        <f>P60</f>
        <v>2.47E-3</v>
      </c>
      <c r="Q61" s="317" t="e">
        <f>M61+O61</f>
        <v>#REF!</v>
      </c>
      <c r="R61" s="316">
        <f>J61/D61</f>
        <v>6.4541395786010883E-2</v>
      </c>
      <c r="S61" s="316">
        <f t="shared" ref="S61:S62" si="11">(J61+L61)/F61</f>
        <v>2.7908648059493186E-2</v>
      </c>
      <c r="U61" s="201">
        <f>D61+E61-F61</f>
        <v>0</v>
      </c>
      <c r="V61" s="201">
        <f>D61+J61-N61</f>
        <v>0</v>
      </c>
      <c r="W61" s="201">
        <f>F61+G61+J61+K61+L61-M61</f>
        <v>0</v>
      </c>
      <c r="X61" s="862"/>
      <c r="Y61" s="389"/>
    </row>
    <row r="62" spans="1:25" s="380" customFormat="1">
      <c r="A62" s="289" t="s">
        <v>918</v>
      </c>
      <c r="D62" s="201">
        <v>6.8430000000000005E-2</v>
      </c>
      <c r="E62" s="201">
        <f>E35</f>
        <v>1.8990000000000007E-2</v>
      </c>
      <c r="F62" s="201">
        <f>D62+E62</f>
        <v>8.7420000000000012E-2</v>
      </c>
      <c r="G62" s="317"/>
      <c r="H62" s="201">
        <f>F62+G62</f>
        <v>8.7420000000000012E-2</v>
      </c>
      <c r="I62" s="201"/>
      <c r="J62" s="199">
        <f>N62-D62</f>
        <v>4.4165677136367154E-3</v>
      </c>
      <c r="K62" s="199">
        <f>K61</f>
        <v>0</v>
      </c>
      <c r="L62" s="199">
        <f>L46</f>
        <v>-3.2299999999999998E-3</v>
      </c>
      <c r="M62" s="199">
        <f>F62+J62+K62+L62</f>
        <v>8.860656771363673E-2</v>
      </c>
      <c r="N62" s="317">
        <f>D62*(1+R35)</f>
        <v>7.284656771363672E-2</v>
      </c>
      <c r="O62" s="317"/>
      <c r="P62" s="317"/>
      <c r="Q62" s="317"/>
      <c r="R62" s="316">
        <f>J62/D62</f>
        <v>6.4541395786010744E-2</v>
      </c>
      <c r="S62" s="316">
        <f t="shared" si="11"/>
        <v>1.3573183638031519E-2</v>
      </c>
      <c r="U62" s="201">
        <f>D62+E62-F62</f>
        <v>0</v>
      </c>
      <c r="V62" s="201">
        <f>D62+J62-N62</f>
        <v>0</v>
      </c>
      <c r="W62" s="201">
        <f>F62+G62+J62+K62+L62-M62</f>
        <v>0</v>
      </c>
      <c r="X62" s="862"/>
      <c r="Y62" s="389"/>
    </row>
    <row r="63" spans="1:25" s="380" customFormat="1">
      <c r="D63" s="499"/>
      <c r="G63" s="108"/>
      <c r="J63" s="108"/>
      <c r="K63" s="199"/>
      <c r="L63" s="108"/>
      <c r="M63" s="499"/>
      <c r="N63" s="838"/>
      <c r="O63" s="108"/>
      <c r="P63" s="108"/>
      <c r="Q63" s="108"/>
      <c r="U63" s="201"/>
      <c r="V63" s="201"/>
      <c r="W63" s="201"/>
      <c r="X63" s="862"/>
      <c r="Y63" s="389"/>
    </row>
    <row r="64" spans="1:25">
      <c r="A64" s="197" t="s">
        <v>305</v>
      </c>
      <c r="K64" s="199"/>
      <c r="N64" s="838"/>
      <c r="U64" s="201"/>
      <c r="V64" s="201"/>
      <c r="W64" s="201"/>
      <c r="X64" s="862"/>
      <c r="Y64" s="389"/>
    </row>
    <row r="65" spans="1:25">
      <c r="A65" s="43" t="s">
        <v>301</v>
      </c>
      <c r="K65" s="199"/>
      <c r="N65" s="838"/>
      <c r="U65" s="201"/>
      <c r="V65" s="201"/>
      <c r="W65" s="201"/>
      <c r="X65" s="862"/>
      <c r="Y65" s="389"/>
    </row>
    <row r="66" spans="1:25">
      <c r="A66" s="289" t="str">
        <f>"First "&amp;TEXT('Rate Design'!T5,"#,##0")&amp;" kWhs"</f>
        <v>First 250,000 kWhs</v>
      </c>
      <c r="D66" s="201">
        <f>'Rate Design'!G5/100</f>
        <v>7.7450000000000005E-2</v>
      </c>
      <c r="E66" s="201">
        <f>F66-D66</f>
        <v>1.6600000000000018E-2</v>
      </c>
      <c r="F66" s="201">
        <f>'Rate Design'!G15/100</f>
        <v>9.4050000000000022E-2</v>
      </c>
      <c r="G66" s="199"/>
      <c r="H66" s="201">
        <f>F66+G66</f>
        <v>9.4050000000000022E-2</v>
      </c>
      <c r="I66" s="201"/>
      <c r="J66" s="199">
        <f>N66-D66</f>
        <v>1.449999999999993E-3</v>
      </c>
      <c r="K66" s="199">
        <v>0</v>
      </c>
      <c r="L66" s="199">
        <f>-Colstrip!K21</f>
        <v>-2.5300000000000001E-3</v>
      </c>
      <c r="M66" s="199">
        <f>F66+J66+K66+L66</f>
        <v>9.2970000000000011E-2</v>
      </c>
      <c r="N66" s="360">
        <f>'Rate Design'!G27/100</f>
        <v>7.8899999999999998E-2</v>
      </c>
      <c r="O66" s="317" t="e">
        <f>O15</f>
        <v>#REF!</v>
      </c>
      <c r="P66" s="317">
        <f>P15</f>
        <v>2.47E-3</v>
      </c>
      <c r="Q66" s="317" t="e">
        <f>M66+O66</f>
        <v>#REF!</v>
      </c>
      <c r="R66" s="316">
        <f>J66/D66</f>
        <v>1.8721755971594485E-2</v>
      </c>
      <c r="S66" s="316">
        <f>(J66+L66)/F66</f>
        <v>-1.1483253588516819E-2</v>
      </c>
      <c r="U66" s="201">
        <f>D66+E66-F66</f>
        <v>0</v>
      </c>
      <c r="V66" s="201">
        <f>D66+J66-N66</f>
        <v>0</v>
      </c>
      <c r="W66" s="201">
        <f>F66+G66+J66+K66+L66-M66</f>
        <v>0</v>
      </c>
      <c r="X66" s="862">
        <f>'Rate Design'!G37/100-'JDM-9 Pg 3'!M66</f>
        <v>2.5300000000000183E-3</v>
      </c>
      <c r="Y66" s="389"/>
    </row>
    <row r="67" spans="1:25">
      <c r="A67" s="289" t="str">
        <f>"All over "&amp;TEXT('Rate Design'!T5,"#,##0")&amp;" kWhs"</f>
        <v>All over 250,000 kWhs</v>
      </c>
      <c r="D67" s="201">
        <f>'Rate Design'!G6/100</f>
        <v>6.9019999999999998E-2</v>
      </c>
      <c r="E67" s="201">
        <f>F67-D67</f>
        <v>1.6600000000000018E-2</v>
      </c>
      <c r="F67" s="201">
        <f>'Rate Design'!G16/100</f>
        <v>8.5620000000000016E-2</v>
      </c>
      <c r="G67" s="199"/>
      <c r="H67" s="201">
        <f>F67+G67</f>
        <v>8.5620000000000016E-2</v>
      </c>
      <c r="I67" s="201"/>
      <c r="J67" s="199">
        <f>N67-D67</f>
        <v>1.2899999999999995E-3</v>
      </c>
      <c r="K67" s="199">
        <f>K66</f>
        <v>0</v>
      </c>
      <c r="L67" s="199">
        <f>L66</f>
        <v>-2.5300000000000001E-3</v>
      </c>
      <c r="M67" s="199">
        <f>F67+J67+K67+L67</f>
        <v>8.4380000000000011E-2</v>
      </c>
      <c r="N67" s="360">
        <f>'Rate Design'!G28/100</f>
        <v>7.0309999999999997E-2</v>
      </c>
      <c r="O67" s="317" t="e">
        <f>O66</f>
        <v>#REF!</v>
      </c>
      <c r="P67" s="317">
        <f>P66</f>
        <v>2.47E-3</v>
      </c>
      <c r="Q67" s="317" t="e">
        <f>M67+O67</f>
        <v>#REF!</v>
      </c>
      <c r="R67" s="316">
        <f>J67/D67</f>
        <v>1.8690234714575479E-2</v>
      </c>
      <c r="S67" s="316">
        <f>(J67+L67)/F67</f>
        <v>-1.4482597523943009E-2</v>
      </c>
      <c r="U67" s="201">
        <f>D67+E67-F67</f>
        <v>0</v>
      </c>
      <c r="V67" s="201">
        <f>D67+J67-N67</f>
        <v>0</v>
      </c>
      <c r="W67" s="201">
        <f>F67+G67+J67+K67+L67-M67</f>
        <v>0</v>
      </c>
      <c r="X67" s="862">
        <f>'Rate Design'!G38/100-'JDM-9 Pg 3'!M67</f>
        <v>2.5299999999999906E-3</v>
      </c>
      <c r="Y67" s="389"/>
    </row>
    <row r="68" spans="1:25">
      <c r="A68" s="43" t="s">
        <v>303</v>
      </c>
      <c r="K68" s="199"/>
      <c r="N68" s="838"/>
      <c r="U68" s="201"/>
      <c r="V68" s="201"/>
      <c r="W68" s="201"/>
      <c r="X68" s="862"/>
      <c r="Y68" s="389"/>
    </row>
    <row r="69" spans="1:25">
      <c r="A69" s="289" t="str">
        <f>TEXT('Rate Design'!T10,"#,##0")&amp;" kW or less"</f>
        <v>50 kW or less</v>
      </c>
      <c r="D69" s="203">
        <f>'Rate Design'!G9</f>
        <v>750</v>
      </c>
      <c r="E69" s="202">
        <f>F69-D69</f>
        <v>0</v>
      </c>
      <c r="F69" s="203">
        <f>'Rate Design'!G19</f>
        <v>750</v>
      </c>
      <c r="G69" s="198"/>
      <c r="H69" s="203"/>
      <c r="J69" s="198">
        <f>IF(ROUND(M69-F69,5)&lt;&gt;ROUND(N69-D69,5),#VALUE!,N69-D69)</f>
        <v>150</v>
      </c>
      <c r="K69" s="199"/>
      <c r="L69" s="198"/>
      <c r="M69" s="198">
        <f>'Rate Design'!G41</f>
        <v>900</v>
      </c>
      <c r="N69" s="839">
        <f>'Rate Design'!G31</f>
        <v>900</v>
      </c>
      <c r="O69" s="198"/>
      <c r="P69" s="198"/>
      <c r="Q69" s="198">
        <f>N69</f>
        <v>900</v>
      </c>
      <c r="R69" s="316">
        <f>J69/D69</f>
        <v>0.2</v>
      </c>
      <c r="S69" s="316">
        <f>J69/F69</f>
        <v>0.2</v>
      </c>
      <c r="U69" s="201"/>
      <c r="V69" s="201"/>
      <c r="W69" s="201"/>
      <c r="X69" s="862"/>
      <c r="Y69" s="389"/>
    </row>
    <row r="70" spans="1:25">
      <c r="A70" s="289" t="str">
        <f>"Over "&amp;TEXT('Rate Design'!T10,"#,##0")&amp;" kW"</f>
        <v>Over 50 kW</v>
      </c>
      <c r="D70" s="204">
        <f>'Rate Design'!G10</f>
        <v>9</v>
      </c>
      <c r="E70" s="204">
        <f>F70-D70</f>
        <v>0</v>
      </c>
      <c r="F70" s="204">
        <f>'Rate Design'!G20</f>
        <v>9</v>
      </c>
      <c r="G70" s="204"/>
      <c r="H70" s="204"/>
      <c r="J70" s="204">
        <f>IF(ROUND(M70-F70,5)&lt;&gt;ROUND(N70-D70,5),#VALUE!,N70-D70)</f>
        <v>1</v>
      </c>
      <c r="K70" s="408"/>
      <c r="L70" s="204"/>
      <c r="M70" s="204">
        <f>'Rate Design'!G42</f>
        <v>10</v>
      </c>
      <c r="N70" s="841">
        <f>'Rate Design'!G32</f>
        <v>10</v>
      </c>
      <c r="O70" s="204"/>
      <c r="P70" s="204"/>
      <c r="Q70" s="204">
        <f>'Rate Design'!G32</f>
        <v>10</v>
      </c>
      <c r="R70" s="316">
        <f>J70/D70</f>
        <v>0.1111111111111111</v>
      </c>
      <c r="S70" s="316">
        <f>J70/F70</f>
        <v>0.1111111111111111</v>
      </c>
      <c r="U70" s="201"/>
      <c r="V70" s="201"/>
      <c r="W70" s="201"/>
      <c r="X70" s="862"/>
      <c r="Y70" s="389"/>
    </row>
    <row r="71" spans="1:25">
      <c r="A71" s="43" t="s">
        <v>74</v>
      </c>
      <c r="D71" s="204">
        <v>0.2</v>
      </c>
      <c r="E71" s="204">
        <f>F71-D71</f>
        <v>0</v>
      </c>
      <c r="F71" s="204">
        <v>0.2</v>
      </c>
      <c r="G71" s="204"/>
      <c r="H71" s="204"/>
      <c r="J71" s="204">
        <f>IF(ROUND(M71-F71,5)&lt;&gt;ROUND(N71-D71,5),#VALUE!,N71-D71)</f>
        <v>0</v>
      </c>
      <c r="K71" s="408"/>
      <c r="L71" s="204"/>
      <c r="M71" s="204">
        <v>0.2</v>
      </c>
      <c r="N71" s="841">
        <v>0.2</v>
      </c>
      <c r="O71" s="204"/>
      <c r="P71" s="204"/>
      <c r="Q71" s="204">
        <v>0.2</v>
      </c>
      <c r="R71" s="316">
        <f>J71/D71</f>
        <v>0</v>
      </c>
      <c r="S71" s="316">
        <f>J71/F71</f>
        <v>0</v>
      </c>
      <c r="U71" s="201"/>
      <c r="V71" s="201"/>
      <c r="W71" s="201"/>
      <c r="X71" s="862"/>
      <c r="Y71" s="389"/>
    </row>
    <row r="72" spans="1:25">
      <c r="D72" s="206"/>
      <c r="E72" s="205"/>
      <c r="F72" s="206"/>
      <c r="G72" s="69"/>
      <c r="H72" s="206"/>
      <c r="J72" s="312"/>
      <c r="K72" s="199"/>
      <c r="L72" s="69"/>
      <c r="M72" s="69"/>
      <c r="N72" s="838"/>
      <c r="U72" s="201"/>
      <c r="V72" s="201"/>
      <c r="W72" s="201"/>
      <c r="X72" s="862"/>
      <c r="Y72" s="389"/>
    </row>
    <row r="73" spans="1:25" s="380" customFormat="1">
      <c r="A73" s="423" t="s">
        <v>769</v>
      </c>
      <c r="G73" s="108"/>
      <c r="J73" s="108"/>
      <c r="K73" s="199"/>
      <c r="L73" s="108"/>
      <c r="M73" s="108"/>
      <c r="N73" s="838"/>
      <c r="O73" s="108"/>
      <c r="P73" s="108"/>
      <c r="Q73" s="108"/>
      <c r="U73" s="201"/>
      <c r="V73" s="201"/>
      <c r="W73" s="201"/>
      <c r="X73" s="862"/>
      <c r="Y73" s="389"/>
    </row>
    <row r="74" spans="1:25" s="380" customFormat="1">
      <c r="A74" s="380" t="s">
        <v>238</v>
      </c>
      <c r="D74" s="602">
        <f>'Rate Design'!H9</f>
        <v>750</v>
      </c>
      <c r="E74" s="202">
        <f>F74-D74</f>
        <v>0</v>
      </c>
      <c r="F74" s="602">
        <f>'Rate Design'!H19</f>
        <v>750</v>
      </c>
      <c r="G74" s="198"/>
      <c r="H74" s="203"/>
      <c r="J74" s="198">
        <f>IF(ROUND(M74-F74,5)&lt;&gt;ROUND(N74-D74,5),#VALUE!,N74-D74)</f>
        <v>150</v>
      </c>
      <c r="K74" s="199"/>
      <c r="L74" s="198"/>
      <c r="M74" s="601">
        <f>'Rate Design'!H41</f>
        <v>900</v>
      </c>
      <c r="N74" s="839">
        <f>'Rate Design'!H31</f>
        <v>900</v>
      </c>
      <c r="O74" s="198"/>
      <c r="P74" s="198"/>
      <c r="Q74" s="198">
        <f>N74</f>
        <v>900</v>
      </c>
      <c r="R74" s="316">
        <f>J74/D74</f>
        <v>0.2</v>
      </c>
      <c r="S74" s="316">
        <f>J74/F74</f>
        <v>0.2</v>
      </c>
      <c r="U74" s="201"/>
      <c r="V74" s="201"/>
      <c r="W74" s="201"/>
      <c r="X74" s="862"/>
      <c r="Y74" s="389"/>
    </row>
    <row r="75" spans="1:25" s="380" customFormat="1">
      <c r="A75" s="380" t="s">
        <v>301</v>
      </c>
      <c r="G75" s="108"/>
      <c r="J75" s="108"/>
      <c r="K75" s="199"/>
      <c r="L75" s="108"/>
      <c r="M75" s="108"/>
      <c r="N75" s="838"/>
      <c r="O75" s="108"/>
      <c r="P75" s="108"/>
      <c r="Q75" s="108"/>
      <c r="U75" s="201"/>
      <c r="V75" s="201"/>
      <c r="W75" s="201"/>
      <c r="X75" s="862"/>
      <c r="Y75" s="389"/>
    </row>
    <row r="76" spans="1:25" s="380" customFormat="1">
      <c r="A76" s="289" t="s">
        <v>770</v>
      </c>
      <c r="D76" s="201">
        <f>'Rate Design'!H5/100</f>
        <v>0.16688</v>
      </c>
      <c r="E76" s="201">
        <f>F76-D76</f>
        <v>1.6599999999999976E-2</v>
      </c>
      <c r="F76" s="201">
        <f>'Rate Design'!H15/100</f>
        <v>0.18347999999999998</v>
      </c>
      <c r="G76" s="199"/>
      <c r="H76" s="201">
        <f>F76+G76</f>
        <v>0.18347999999999998</v>
      </c>
      <c r="I76" s="201"/>
      <c r="J76" s="199">
        <f>N76-D76</f>
        <v>8.1000000000000238E-3</v>
      </c>
      <c r="K76" s="199">
        <v>0</v>
      </c>
      <c r="L76" s="199">
        <f>L66</f>
        <v>-2.5300000000000001E-3</v>
      </c>
      <c r="M76" s="199">
        <f>F76+J76+K76+L76</f>
        <v>0.18905</v>
      </c>
      <c r="N76" s="360">
        <f>'Rate Design'!H27/100</f>
        <v>0.17498000000000002</v>
      </c>
      <c r="O76" s="317">
        <f>O37</f>
        <v>0</v>
      </c>
      <c r="P76" s="317">
        <f>P37</f>
        <v>0</v>
      </c>
      <c r="Q76" s="317">
        <f>M76+O76</f>
        <v>0.18905</v>
      </c>
      <c r="R76" s="316">
        <f>J76/D76</f>
        <v>4.8537871524448849E-2</v>
      </c>
      <c r="S76" s="316">
        <f>(J76+L76)/F76</f>
        <v>3.035753215609344E-2</v>
      </c>
      <c r="U76" s="201">
        <f>D76+E76-F76</f>
        <v>0</v>
      </c>
      <c r="V76" s="201">
        <f>D76+J76-N76</f>
        <v>0</v>
      </c>
      <c r="W76" s="201">
        <f>F76+G76+J76+K76+L76-M76</f>
        <v>0</v>
      </c>
      <c r="X76" s="862">
        <f>'Rate Design'!H37/100-'JDM-9 Pg 3'!M76</f>
        <v>2.5300000000000045E-3</v>
      </c>
      <c r="Y76" s="389"/>
    </row>
    <row r="77" spans="1:25" s="380" customFormat="1">
      <c r="A77" s="289" t="s">
        <v>771</v>
      </c>
      <c r="D77" s="201">
        <f>'Rate Design'!H6/100</f>
        <v>6.7430000000000004E-2</v>
      </c>
      <c r="E77" s="201">
        <f>F77-D77</f>
        <v>1.6600000000000004E-2</v>
      </c>
      <c r="F77" s="201">
        <f>'Rate Design'!H16/100</f>
        <v>8.4030000000000007E-2</v>
      </c>
      <c r="G77" s="199"/>
      <c r="H77" s="201">
        <f>F77+G77</f>
        <v>8.4030000000000007E-2</v>
      </c>
      <c r="I77" s="201"/>
      <c r="J77" s="199">
        <f>N77-D77</f>
        <v>3.2699999999999951E-3</v>
      </c>
      <c r="K77" s="199">
        <f>K76</f>
        <v>0</v>
      </c>
      <c r="L77" s="199">
        <f>L66</f>
        <v>-2.5300000000000001E-3</v>
      </c>
      <c r="M77" s="199">
        <f>F77+J77+K77+L77</f>
        <v>8.4769999999999998E-2</v>
      </c>
      <c r="N77" s="360">
        <f>'Rate Design'!H28/100</f>
        <v>7.0699999999999999E-2</v>
      </c>
      <c r="O77" s="317">
        <f>O76</f>
        <v>0</v>
      </c>
      <c r="P77" s="317">
        <f>P76</f>
        <v>0</v>
      </c>
      <c r="Q77" s="317">
        <f>M77+O77</f>
        <v>8.4769999999999998E-2</v>
      </c>
      <c r="R77" s="316">
        <f>J77/D77</f>
        <v>4.8494735281032104E-2</v>
      </c>
      <c r="S77" s="316">
        <f>(J77+L77)/F77</f>
        <v>8.8063786742829334E-3</v>
      </c>
      <c r="U77" s="201">
        <f>D77+E77-F77</f>
        <v>0</v>
      </c>
      <c r="V77" s="201">
        <f>D77+J77-N77</f>
        <v>0</v>
      </c>
      <c r="W77" s="201">
        <f>F77+G77+J77+K77+L77-M77</f>
        <v>0</v>
      </c>
      <c r="X77" s="862">
        <f>'Rate Design'!H38/100-'JDM-9 Pg 3'!M77</f>
        <v>2.5300000000000183E-3</v>
      </c>
      <c r="Y77" s="389"/>
    </row>
    <row r="78" spans="1:25" s="380" customFormat="1">
      <c r="A78" s="380" t="s">
        <v>74</v>
      </c>
      <c r="D78" s="204">
        <v>0.2</v>
      </c>
      <c r="E78" s="204">
        <f>F78-D78</f>
        <v>0</v>
      </c>
      <c r="F78" s="204">
        <v>0.2</v>
      </c>
      <c r="G78" s="204"/>
      <c r="H78" s="204"/>
      <c r="J78" s="204">
        <f>IF(ROUND(M78-F78,5)&lt;&gt;ROUND(N78-D78,5),#VALUE!,N78-D78)</f>
        <v>0</v>
      </c>
      <c r="K78" s="408"/>
      <c r="L78" s="204"/>
      <c r="M78" s="204">
        <v>0.2</v>
      </c>
      <c r="N78" s="841">
        <v>0.2</v>
      </c>
      <c r="O78" s="204"/>
      <c r="P78" s="204"/>
      <c r="Q78" s="204">
        <v>0.2</v>
      </c>
      <c r="R78" s="316">
        <f>J78/D78</f>
        <v>0</v>
      </c>
      <c r="S78" s="316">
        <f>J78/F78</f>
        <v>0</v>
      </c>
      <c r="U78" s="201"/>
      <c r="V78" s="201"/>
      <c r="W78" s="201"/>
      <c r="X78" s="862"/>
      <c r="Y78" s="389"/>
    </row>
    <row r="79" spans="1:25" s="380" customFormat="1">
      <c r="D79" s="206"/>
      <c r="E79" s="448"/>
      <c r="F79" s="206"/>
      <c r="G79" s="69"/>
      <c r="H79" s="206"/>
      <c r="J79" s="457"/>
      <c r="K79" s="199"/>
      <c r="L79" s="69"/>
      <c r="M79" s="69"/>
      <c r="N79" s="838"/>
      <c r="O79" s="108"/>
      <c r="P79" s="108"/>
      <c r="Q79" s="108"/>
      <c r="U79" s="201"/>
      <c r="V79" s="201"/>
      <c r="W79" s="201"/>
      <c r="X79" s="862"/>
      <c r="Y79" s="389"/>
    </row>
    <row r="80" spans="1:25">
      <c r="A80" s="197" t="s">
        <v>306</v>
      </c>
      <c r="K80" s="199"/>
      <c r="N80" s="838"/>
      <c r="U80" s="201"/>
      <c r="V80" s="201"/>
      <c r="W80" s="201"/>
      <c r="X80" s="862"/>
      <c r="Y80" s="389"/>
    </row>
    <row r="81" spans="1:25">
      <c r="A81" s="43" t="s">
        <v>301</v>
      </c>
      <c r="K81" s="199"/>
      <c r="N81" s="838"/>
      <c r="U81" s="201"/>
      <c r="V81" s="201"/>
      <c r="W81" s="201"/>
      <c r="X81" s="862"/>
      <c r="Y81" s="389"/>
    </row>
    <row r="82" spans="1:25">
      <c r="A82" s="289" t="str">
        <f>"First "&amp;TEXT('Rate Design'!V5,"#,##0")&amp;" kWhs"</f>
        <v>First 500,000 kWhs</v>
      </c>
      <c r="D82" s="201">
        <f>'Rate Design'!I5/100</f>
        <v>5.638E-2</v>
      </c>
      <c r="E82" s="201">
        <f>F82-D82</f>
        <v>9.900000000000006E-3</v>
      </c>
      <c r="F82" s="201">
        <f>'Rate Design'!I15/100</f>
        <v>6.6280000000000006E-2</v>
      </c>
      <c r="G82" s="199"/>
      <c r="H82" s="201">
        <f>F82+G82</f>
        <v>6.6280000000000006E-2</v>
      </c>
      <c r="I82" s="201"/>
      <c r="J82" s="199">
        <f>N82-D82</f>
        <v>-2.3899999999999963E-3</v>
      </c>
      <c r="K82" s="199">
        <v>0</v>
      </c>
      <c r="L82" s="199">
        <f>-Colstrip!K25</f>
        <v>-9.2000000000000003E-4</v>
      </c>
      <c r="M82" s="199">
        <f>F82+J82+K82+L82</f>
        <v>6.2969999999999998E-2</v>
      </c>
      <c r="N82" s="360">
        <f>'Rate Design'!I27/100</f>
        <v>5.3990000000000003E-2</v>
      </c>
      <c r="O82" s="317" t="e">
        <f>O15</f>
        <v>#REF!</v>
      </c>
      <c r="P82" s="317">
        <f>P15</f>
        <v>2.47E-3</v>
      </c>
      <c r="Q82" s="317" t="e">
        <f>M82+O82</f>
        <v>#REF!</v>
      </c>
      <c r="R82" s="316">
        <f>J82/D82</f>
        <v>-4.239091876551962E-2</v>
      </c>
      <c r="S82" s="316">
        <f>(J82+L82)/F82</f>
        <v>-4.9939649969824924E-2</v>
      </c>
      <c r="U82" s="201">
        <f>D82+E82-F82</f>
        <v>0</v>
      </c>
      <c r="V82" s="201">
        <f>D82+J82-N82</f>
        <v>0</v>
      </c>
      <c r="W82" s="201">
        <f>F82+G82+J82+K82+L82-M82</f>
        <v>0</v>
      </c>
      <c r="X82" s="862">
        <f>'Rate Design'!I37/100-'JDM-9 Pg 3'!M82</f>
        <v>9.2000000000000415E-4</v>
      </c>
      <c r="Y82" s="389"/>
    </row>
    <row r="83" spans="1:25">
      <c r="A83" s="289" t="str">
        <f>TEXT('Rate Design'!V27,"#,##0")&amp;" - "&amp;TEXT('Rate Design'!V28,"#,##0")&amp;" kWhs"</f>
        <v>500,000 - 6,000,000 kWhs</v>
      </c>
      <c r="D83" s="201">
        <f>'Rate Design'!I6/100</f>
        <v>5.0629999999999994E-2</v>
      </c>
      <c r="E83" s="201">
        <f>F83-D83</f>
        <v>9.900000000000006E-3</v>
      </c>
      <c r="F83" s="201">
        <f>'Rate Design'!I16/100</f>
        <v>6.053E-2</v>
      </c>
      <c r="G83" s="199"/>
      <c r="H83" s="201">
        <f>F83+G83</f>
        <v>6.053E-2</v>
      </c>
      <c r="I83" s="201"/>
      <c r="J83" s="199">
        <f>N83-D83</f>
        <v>-2.1399999999999891E-3</v>
      </c>
      <c r="K83" s="199">
        <f>K82</f>
        <v>0</v>
      </c>
      <c r="L83" s="199">
        <f>L82</f>
        <v>-9.2000000000000003E-4</v>
      </c>
      <c r="M83" s="199">
        <f t="shared" ref="M83:M84" si="12">F83+J83+K83+L83</f>
        <v>5.7470000000000014E-2</v>
      </c>
      <c r="N83" s="360">
        <f>'Rate Design'!I28/100</f>
        <v>4.8490000000000005E-2</v>
      </c>
      <c r="O83" s="317" t="e">
        <f>O82</f>
        <v>#REF!</v>
      </c>
      <c r="P83" s="317">
        <f>P82</f>
        <v>2.47E-3</v>
      </c>
      <c r="Q83" s="317" t="e">
        <f>M83+O83</f>
        <v>#REF!</v>
      </c>
      <c r="R83" s="316">
        <f>J83/D83</f>
        <v>-4.2267430377246479E-2</v>
      </c>
      <c r="S83" s="316">
        <f t="shared" ref="S83:S84" si="13">(J83+L83)/F83</f>
        <v>-5.0553444572938852E-2</v>
      </c>
      <c r="U83" s="201">
        <f>D83+E83-F83</f>
        <v>0</v>
      </c>
      <c r="V83" s="201">
        <f>D83+J83-N83</f>
        <v>0</v>
      </c>
      <c r="W83" s="201">
        <f>F83+G83+J83+K83+L83-M83</f>
        <v>0</v>
      </c>
      <c r="X83" s="862">
        <f>'Rate Design'!I38/100-'JDM-9 Pg 3'!M83</f>
        <v>9.1999999999999027E-4</v>
      </c>
      <c r="Y83" s="389"/>
    </row>
    <row r="84" spans="1:25">
      <c r="A84" s="289" t="str">
        <f>"All over "&amp;TEXT('Rate Design'!V28,"#,##0")&amp;" kWhs"</f>
        <v>All over 6,000,000 kWhs</v>
      </c>
      <c r="D84" s="201">
        <f>'Rate Design'!I7/100</f>
        <v>4.1309999999999999E-2</v>
      </c>
      <c r="E84" s="201">
        <f>F84-D84</f>
        <v>7.540000000000005E-3</v>
      </c>
      <c r="F84" s="201">
        <f>'Rate Design'!I17/100</f>
        <v>4.8850000000000005E-2</v>
      </c>
      <c r="G84" s="199"/>
      <c r="H84" s="201">
        <f>F84+G84</f>
        <v>4.8850000000000005E-2</v>
      </c>
      <c r="I84" s="201"/>
      <c r="J84" s="199">
        <f>N84-D84</f>
        <v>-1.7500000000000016E-3</v>
      </c>
      <c r="K84" s="199">
        <v>0</v>
      </c>
      <c r="L84" s="199">
        <f>L82</f>
        <v>-9.2000000000000003E-4</v>
      </c>
      <c r="M84" s="199">
        <f t="shared" si="12"/>
        <v>4.6180000000000006E-2</v>
      </c>
      <c r="N84" s="360">
        <f>'Rate Design'!I29/100</f>
        <v>3.9559999999999998E-2</v>
      </c>
      <c r="O84" s="317" t="e">
        <f>O82</f>
        <v>#REF!</v>
      </c>
      <c r="P84" s="317">
        <f>P82</f>
        <v>2.47E-3</v>
      </c>
      <c r="Q84" s="317" t="e">
        <f>M84+O84</f>
        <v>#REF!</v>
      </c>
      <c r="R84" s="316">
        <f>J84/D84</f>
        <v>-4.2362624061970507E-2</v>
      </c>
      <c r="S84" s="316">
        <f t="shared" si="13"/>
        <v>-5.4657113613101355E-2</v>
      </c>
      <c r="U84" s="201">
        <f>D84+E84-F84</f>
        <v>0</v>
      </c>
      <c r="V84" s="201">
        <f>D84+J84-N84</f>
        <v>0</v>
      </c>
      <c r="W84" s="201">
        <f>F84+G84+J84+K84+L84-M84</f>
        <v>0</v>
      </c>
      <c r="X84" s="862">
        <f>'Rate Design'!I39/100-'JDM-9 Pg 3'!M84</f>
        <v>9.1999999999999721E-4</v>
      </c>
      <c r="Y84" s="389"/>
    </row>
    <row r="85" spans="1:25">
      <c r="A85" s="43" t="s">
        <v>303</v>
      </c>
      <c r="K85" s="199"/>
      <c r="N85" s="838"/>
      <c r="U85" s="201"/>
      <c r="V85" s="201"/>
      <c r="W85" s="201"/>
      <c r="X85" s="862"/>
      <c r="Y85" s="389"/>
    </row>
    <row r="86" spans="1:25">
      <c r="A86" s="289" t="str">
        <f>TEXT('Rate Design'!V10,"#,##0")&amp;" kva or less"</f>
        <v>3,000 kva or less</v>
      </c>
      <c r="D86" s="207">
        <f>'Rate Design'!I9</f>
        <v>38300</v>
      </c>
      <c r="E86" s="207">
        <f>F86-D86</f>
        <v>0</v>
      </c>
      <c r="F86" s="207">
        <f>'Rate Design'!I19</f>
        <v>38300</v>
      </c>
      <c r="G86" s="208"/>
      <c r="H86" s="207"/>
      <c r="I86" s="207"/>
      <c r="J86" s="208">
        <f>IF(ROUND(M86-F86,5)&lt;&gt;ROUND(N86-D86,5),#VALUE!,N86-D86)</f>
        <v>9590.6299999999974</v>
      </c>
      <c r="K86" s="199"/>
      <c r="L86" s="208"/>
      <c r="M86" s="208">
        <f>'Rate Design'!I41</f>
        <v>47890.63</v>
      </c>
      <c r="N86" s="842">
        <f>'Rate Design'!I31</f>
        <v>47890.63</v>
      </c>
      <c r="O86" s="208"/>
      <c r="P86" s="208"/>
      <c r="Q86" s="208">
        <f>'Rate Design'!I31</f>
        <v>47890.63</v>
      </c>
      <c r="R86" s="316">
        <f>J86/D86</f>
        <v>0.25040809399477798</v>
      </c>
      <c r="S86" s="316">
        <f>J86/F86</f>
        <v>0.25040809399477798</v>
      </c>
      <c r="U86" s="201"/>
      <c r="V86" s="201"/>
      <c r="W86" s="201"/>
      <c r="X86" s="862"/>
      <c r="Y86" s="389"/>
    </row>
    <row r="87" spans="1:25">
      <c r="A87" s="289" t="str">
        <f>"Over "&amp;TEXT('Rate Design'!V10,"#,##0")&amp;" kva"</f>
        <v>Over 3,000 kva</v>
      </c>
      <c r="D87" s="209">
        <f>'Rate Design'!I10</f>
        <v>10.35</v>
      </c>
      <c r="E87" s="209">
        <f>F87-D87</f>
        <v>0</v>
      </c>
      <c r="F87" s="209">
        <f>'Rate Design'!I20</f>
        <v>10.35</v>
      </c>
      <c r="G87" s="209"/>
      <c r="H87" s="209"/>
      <c r="J87" s="209">
        <f>IF(ROUND(M87-F87,5)&lt;&gt;ROUND(N87-D87,5),#VALUE!,N87-D87)</f>
        <v>2.6300000000000008</v>
      </c>
      <c r="K87" s="408"/>
      <c r="L87" s="209"/>
      <c r="M87" s="209">
        <f>'Rate Design'!I42</f>
        <v>12.98</v>
      </c>
      <c r="N87" s="843">
        <f>'Rate Design'!I32</f>
        <v>12.98</v>
      </c>
      <c r="O87" s="209"/>
      <c r="P87" s="209"/>
      <c r="Q87" s="209">
        <f>'Rate Design'!I32</f>
        <v>12.98</v>
      </c>
      <c r="R87" s="316">
        <f>J87/D87</f>
        <v>0.25410628019323678</v>
      </c>
      <c r="S87" s="316">
        <f>J87/F87</f>
        <v>0.25410628019323678</v>
      </c>
      <c r="U87" s="201"/>
      <c r="V87" s="201"/>
      <c r="W87" s="201"/>
      <c r="X87" s="862"/>
      <c r="Y87" s="389"/>
    </row>
    <row r="88" spans="1:25">
      <c r="A88" s="43" t="s">
        <v>322</v>
      </c>
      <c r="G88" s="380"/>
      <c r="J88" s="43"/>
      <c r="K88" s="201"/>
      <c r="L88" s="43"/>
      <c r="M88" s="43"/>
      <c r="N88" s="494"/>
      <c r="O88" s="43"/>
      <c r="P88" s="380"/>
      <c r="Q88" s="43"/>
      <c r="U88" s="201"/>
      <c r="V88" s="201"/>
      <c r="W88" s="201"/>
      <c r="X88" s="862"/>
      <c r="Y88" s="389"/>
    </row>
    <row r="89" spans="1:25">
      <c r="A89" s="289" t="s">
        <v>323</v>
      </c>
      <c r="D89" s="209">
        <v>0.2</v>
      </c>
      <c r="E89" s="204">
        <f>F89-D89</f>
        <v>0</v>
      </c>
      <c r="F89" s="209">
        <v>0.2</v>
      </c>
      <c r="G89" s="204"/>
      <c r="H89" s="204"/>
      <c r="J89" s="204">
        <f>IF(ROUND(M89-F89,5)&lt;&gt;ROUND(N89-D89,5),#VALUE!,N89-D89)</f>
        <v>0</v>
      </c>
      <c r="K89" s="408"/>
      <c r="L89" s="204"/>
      <c r="M89" s="209">
        <v>0.2</v>
      </c>
      <c r="N89" s="843">
        <v>0.2</v>
      </c>
      <c r="O89" s="204"/>
      <c r="P89" s="204"/>
      <c r="Q89" s="204">
        <f>N89</f>
        <v>0.2</v>
      </c>
      <c r="R89" s="316">
        <f>J89/D89</f>
        <v>0</v>
      </c>
      <c r="S89" s="316">
        <f>J89/F89</f>
        <v>0</v>
      </c>
      <c r="U89" s="201"/>
      <c r="V89" s="201"/>
      <c r="W89" s="201"/>
      <c r="X89" s="862"/>
      <c r="Y89" s="389"/>
    </row>
    <row r="90" spans="1:25">
      <c r="A90" s="289" t="s">
        <v>324</v>
      </c>
      <c r="D90" s="209">
        <v>1.52</v>
      </c>
      <c r="E90" s="204">
        <f>F90-D90</f>
        <v>0</v>
      </c>
      <c r="F90" s="209">
        <v>1.52</v>
      </c>
      <c r="G90" s="204"/>
      <c r="H90" s="204"/>
      <c r="J90" s="209">
        <f>IF(ROUND(M90-F90,5)&lt;&gt;ROUND(N90-D90,5),#VALUE!,N90-D90)</f>
        <v>0</v>
      </c>
      <c r="K90" s="408"/>
      <c r="L90" s="204"/>
      <c r="M90" s="209">
        <v>1.52</v>
      </c>
      <c r="N90" s="843">
        <v>1.52</v>
      </c>
      <c r="O90" s="204"/>
      <c r="P90" s="204"/>
      <c r="Q90" s="204">
        <f>N90</f>
        <v>1.52</v>
      </c>
      <c r="R90" s="316">
        <f>J90/D90</f>
        <v>0</v>
      </c>
      <c r="S90" s="316">
        <f>J90/F90</f>
        <v>0</v>
      </c>
      <c r="U90" s="201"/>
      <c r="V90" s="201"/>
      <c r="W90" s="201"/>
      <c r="X90" s="862"/>
      <c r="Y90" s="389"/>
    </row>
    <row r="91" spans="1:25">
      <c r="A91" s="289" t="s">
        <v>325</v>
      </c>
      <c r="D91" s="209">
        <v>1.93</v>
      </c>
      <c r="E91" s="204">
        <f>F91-D91</f>
        <v>0</v>
      </c>
      <c r="F91" s="209">
        <v>1.93</v>
      </c>
      <c r="G91" s="204"/>
      <c r="H91" s="204"/>
      <c r="J91" s="209">
        <f>IF(ROUND(M91-F91,5)&lt;&gt;ROUND(N91-D91,5),#VALUE!,N91-D91)</f>
        <v>0</v>
      </c>
      <c r="K91" s="408"/>
      <c r="L91" s="204"/>
      <c r="M91" s="209">
        <v>1.93</v>
      </c>
      <c r="N91" s="843">
        <v>1.93</v>
      </c>
      <c r="O91" s="204"/>
      <c r="P91" s="204"/>
      <c r="Q91" s="204">
        <f>N91</f>
        <v>1.93</v>
      </c>
      <c r="R91" s="316">
        <f>J91/D91</f>
        <v>0</v>
      </c>
      <c r="S91" s="316">
        <f>J91/F91</f>
        <v>0</v>
      </c>
      <c r="U91" s="201"/>
      <c r="V91" s="201"/>
      <c r="W91" s="201"/>
      <c r="X91" s="862"/>
      <c r="Y91" s="389"/>
    </row>
    <row r="92" spans="1:25">
      <c r="A92" s="43" t="s">
        <v>307</v>
      </c>
      <c r="D92" s="318" t="s">
        <v>318</v>
      </c>
      <c r="E92" s="319">
        <v>1089110</v>
      </c>
      <c r="F92" s="320"/>
      <c r="G92" s="321"/>
      <c r="H92" s="320"/>
      <c r="I92" s="320"/>
      <c r="J92" s="318"/>
      <c r="K92" s="407"/>
      <c r="L92" s="321" t="s">
        <v>319</v>
      </c>
      <c r="M92" s="552">
        <f>6000000*N82+5000000*N83+12*N86</f>
        <v>1141077.56</v>
      </c>
      <c r="N92" s="844"/>
      <c r="O92" s="215"/>
      <c r="P92" s="215"/>
      <c r="Q92" s="214">
        <f>M92</f>
        <v>1141077.56</v>
      </c>
      <c r="R92" s="316">
        <f>M92/E92-1</f>
        <v>4.7715621011651832E-2</v>
      </c>
      <c r="S92" s="316"/>
      <c r="U92" s="201"/>
      <c r="V92" s="201"/>
      <c r="W92" s="201"/>
      <c r="X92" s="862"/>
      <c r="Y92" s="389"/>
    </row>
    <row r="93" spans="1:25">
      <c r="K93" s="199"/>
      <c r="N93" s="838"/>
      <c r="U93" s="201"/>
      <c r="V93" s="201"/>
      <c r="W93" s="201"/>
      <c r="X93" s="862"/>
      <c r="Y93" s="389"/>
    </row>
    <row r="94" spans="1:25" s="380" customFormat="1">
      <c r="A94" s="423" t="s">
        <v>783</v>
      </c>
      <c r="G94" s="108"/>
      <c r="J94" s="108"/>
      <c r="K94" s="199"/>
      <c r="L94" s="108"/>
      <c r="M94" s="108"/>
      <c r="N94" s="838"/>
      <c r="O94" s="108"/>
      <c r="P94" s="108"/>
      <c r="Q94" s="108"/>
      <c r="U94" s="201"/>
      <c r="V94" s="201"/>
      <c r="W94" s="201"/>
      <c r="X94" s="862"/>
      <c r="Y94" s="389"/>
    </row>
    <row r="95" spans="1:25" s="380" customFormat="1">
      <c r="A95" s="380" t="s">
        <v>301</v>
      </c>
      <c r="G95" s="108"/>
      <c r="J95" s="108"/>
      <c r="K95" s="199"/>
      <c r="L95" s="108"/>
      <c r="M95" s="108"/>
      <c r="N95" s="838"/>
      <c r="O95" s="108"/>
      <c r="P95" s="108"/>
      <c r="Q95" s="108"/>
      <c r="U95" s="201"/>
      <c r="V95" s="201"/>
      <c r="W95" s="201"/>
      <c r="X95" s="862"/>
      <c r="Y95" s="389"/>
    </row>
    <row r="96" spans="1:25" s="380" customFormat="1">
      <c r="A96" s="289" t="str">
        <f>"First "&amp;TEXT('Rate Design'!V19,"#,##0")&amp;" kWhs"</f>
        <v>First 0 kWhs</v>
      </c>
      <c r="D96" s="201">
        <f>'Rate Design'!J5/100</f>
        <v>4.8579999999999998E-2</v>
      </c>
      <c r="E96" s="201">
        <f>F96-D96</f>
        <v>8.4500000000000061E-3</v>
      </c>
      <c r="F96" s="201">
        <f>'Rate Design'!J15/100</f>
        <v>5.7030000000000004E-2</v>
      </c>
      <c r="G96" s="199"/>
      <c r="H96" s="201">
        <f>F96+G96</f>
        <v>5.7030000000000004E-2</v>
      </c>
      <c r="I96" s="201"/>
      <c r="J96" s="199">
        <f>N96-D96</f>
        <v>1.350000000000004E-3</v>
      </c>
      <c r="K96" s="199">
        <v>0</v>
      </c>
      <c r="L96" s="199">
        <f>-Colstrip!K27</f>
        <v>-5.9000000000000003E-4</v>
      </c>
      <c r="M96" s="199">
        <f>F96+J96+K96+L96</f>
        <v>5.7790000000000008E-2</v>
      </c>
      <c r="N96" s="360">
        <f>'Rate Design'!J27/100</f>
        <v>4.9930000000000002E-2</v>
      </c>
      <c r="O96" s="317">
        <f>O42</f>
        <v>0</v>
      </c>
      <c r="P96" s="317">
        <f>P42</f>
        <v>0</v>
      </c>
      <c r="Q96" s="317">
        <f>M96+O96</f>
        <v>5.7790000000000008E-2</v>
      </c>
      <c r="R96" s="316">
        <f>J96/D96</f>
        <v>2.7789213668176289E-2</v>
      </c>
      <c r="S96" s="316">
        <f>(J96+L96)/F96</f>
        <v>1.3326319480974994E-2</v>
      </c>
      <c r="U96" s="201">
        <f>D96+E96-F96</f>
        <v>0</v>
      </c>
      <c r="V96" s="201">
        <f>D96+J96-N96</f>
        <v>0</v>
      </c>
      <c r="W96" s="201">
        <f>F96+G96+J96+K96+L96-M96</f>
        <v>0</v>
      </c>
      <c r="X96" s="862">
        <f>'Rate Design'!J37/100-'JDM-9 Pg 3'!M96</f>
        <v>5.9000000000000025E-4</v>
      </c>
      <c r="Y96" s="389"/>
    </row>
    <row r="97" spans="1:25" s="380" customFormat="1">
      <c r="A97" s="289" t="str">
        <f>TEXT('Rate Design'!V41,"#,##0")&amp;" - "&amp;TEXT('Rate Design'!V42,"#,##0")&amp;" kWhs"</f>
        <v>0 - 3,000 kWhs</v>
      </c>
      <c r="D97" s="201">
        <f>'Rate Design'!J6/100</f>
        <v>4.3659999999999997E-2</v>
      </c>
      <c r="E97" s="201">
        <f>F97-D97</f>
        <v>8.4500000000000061E-3</v>
      </c>
      <c r="F97" s="201">
        <f>'Rate Design'!J16/100</f>
        <v>5.2110000000000004E-2</v>
      </c>
      <c r="G97" s="199"/>
      <c r="H97" s="201">
        <f>F97+G97</f>
        <v>5.2110000000000004E-2</v>
      </c>
      <c r="I97" s="201"/>
      <c r="J97" s="199">
        <f>N97-D97</f>
        <v>1.2100000000000027E-3</v>
      </c>
      <c r="K97" s="199">
        <f>K96</f>
        <v>0</v>
      </c>
      <c r="L97" s="199">
        <f>L96</f>
        <v>-5.9000000000000003E-4</v>
      </c>
      <c r="M97" s="199">
        <f t="shared" ref="M97:M98" si="14">F97+J97+K97+L97</f>
        <v>5.2730000000000006E-2</v>
      </c>
      <c r="N97" s="360">
        <f>'Rate Design'!J28/100</f>
        <v>4.487E-2</v>
      </c>
      <c r="O97" s="317">
        <f>O96</f>
        <v>0</v>
      </c>
      <c r="P97" s="317">
        <f>P96</f>
        <v>0</v>
      </c>
      <c r="Q97" s="317">
        <f>M97+O97</f>
        <v>5.2730000000000006E-2</v>
      </c>
      <c r="R97" s="316">
        <f>J97/D97</f>
        <v>2.7714154832798966E-2</v>
      </c>
      <c r="S97" s="316">
        <f t="shared" ref="S97:S98" si="15">(J97+L97)/F97</f>
        <v>1.1897908270965317E-2</v>
      </c>
      <c r="U97" s="201">
        <f>D97+E97-F97</f>
        <v>0</v>
      </c>
      <c r="V97" s="201">
        <f>D97+J97-N97</f>
        <v>0</v>
      </c>
      <c r="W97" s="201">
        <f>F97+G97+J97+K97+L97-M97</f>
        <v>0</v>
      </c>
      <c r="X97" s="862">
        <f>'Rate Design'!J38/100-'JDM-9 Pg 3'!M97</f>
        <v>5.9000000000000025E-4</v>
      </c>
      <c r="Y97" s="389"/>
    </row>
    <row r="98" spans="1:25" s="380" customFormat="1">
      <c r="A98" s="289" t="str">
        <f>"All over "&amp;TEXT('Rate Design'!V42,"#,##0")&amp;" kWhs"</f>
        <v>All over 3,000 kWhs</v>
      </c>
      <c r="D98" s="201">
        <f>'Rate Design'!J7/100</f>
        <v>3.7240000000000002E-2</v>
      </c>
      <c r="E98" s="201">
        <f>F98-D98</f>
        <v>6.0899999999999982E-3</v>
      </c>
      <c r="F98" s="201">
        <f>'Rate Design'!J17/100</f>
        <v>4.333E-2</v>
      </c>
      <c r="G98" s="199"/>
      <c r="H98" s="201">
        <f>F98+G98</f>
        <v>4.333E-2</v>
      </c>
      <c r="I98" s="201"/>
      <c r="J98" s="199">
        <f>N98-D98</f>
        <v>1.0399999999999993E-3</v>
      </c>
      <c r="K98" s="199"/>
      <c r="L98" s="199">
        <f>L96</f>
        <v>-5.9000000000000003E-4</v>
      </c>
      <c r="M98" s="199">
        <f t="shared" si="14"/>
        <v>4.3779999999999999E-2</v>
      </c>
      <c r="N98" s="360">
        <f>'Rate Design'!J29/100</f>
        <v>3.8280000000000002E-2</v>
      </c>
      <c r="O98" s="317">
        <f>O96</f>
        <v>0</v>
      </c>
      <c r="P98" s="317">
        <f>P96</f>
        <v>0</v>
      </c>
      <c r="Q98" s="317">
        <f>M98+O98</f>
        <v>4.3779999999999999E-2</v>
      </c>
      <c r="R98" s="316">
        <f>J98/D98</f>
        <v>2.7926960257787303E-2</v>
      </c>
      <c r="S98" s="316">
        <f t="shared" si="15"/>
        <v>1.0385414262635569E-2</v>
      </c>
      <c r="U98" s="201">
        <f>D98+E98-F98</f>
        <v>0</v>
      </c>
      <c r="V98" s="201">
        <f>D98+J98-N98</f>
        <v>0</v>
      </c>
      <c r="W98" s="201">
        <f>F98+G98+J98+K98+L98-M98</f>
        <v>0</v>
      </c>
      <c r="X98" s="862">
        <f>'Rate Design'!J39/100-'JDM-9 Pg 3'!M98</f>
        <v>5.9000000000000025E-4</v>
      </c>
      <c r="Y98" s="389"/>
    </row>
    <row r="99" spans="1:25" s="380" customFormat="1">
      <c r="A99" s="380" t="s">
        <v>303</v>
      </c>
      <c r="G99" s="108"/>
      <c r="J99" s="108"/>
      <c r="K99" s="199"/>
      <c r="L99" s="108"/>
      <c r="M99" s="108"/>
      <c r="N99" s="838"/>
      <c r="O99" s="108"/>
      <c r="P99" s="108"/>
      <c r="Q99" s="108"/>
      <c r="U99" s="201"/>
      <c r="V99" s="201"/>
      <c r="W99" s="201"/>
      <c r="X99" s="862"/>
      <c r="Y99" s="389"/>
    </row>
    <row r="100" spans="1:25" s="380" customFormat="1">
      <c r="A100" s="289" t="str">
        <f>TEXT('Rate Design'!V24,"#,##0")&amp;" kva or less"</f>
        <v>0 kva or less</v>
      </c>
      <c r="D100" s="207">
        <f>'Rate Design'!J9</f>
        <v>30650</v>
      </c>
      <c r="E100" s="207">
        <f>F100-D100</f>
        <v>0</v>
      </c>
      <c r="F100" s="207">
        <f>'Rate Design'!J19</f>
        <v>30650</v>
      </c>
      <c r="G100" s="208"/>
      <c r="H100" s="207"/>
      <c r="I100" s="207"/>
      <c r="J100" s="208">
        <f>IF(ROUND(M100-F100,5)&lt;&gt;ROUND(N100-D100,5),#VALUE!,N100-D100)</f>
        <v>0</v>
      </c>
      <c r="K100" s="199"/>
      <c r="L100" s="208"/>
      <c r="M100" s="208">
        <f>'Rate Design'!J41</f>
        <v>30650</v>
      </c>
      <c r="N100" s="842">
        <f>'Rate Design'!J31</f>
        <v>30650</v>
      </c>
      <c r="O100" s="208"/>
      <c r="P100" s="208"/>
      <c r="Q100" s="208">
        <f>'Rate Design'!I45</f>
        <v>0</v>
      </c>
      <c r="R100" s="316">
        <f>J100/D100</f>
        <v>0</v>
      </c>
      <c r="S100" s="316">
        <f>J100/F100</f>
        <v>0</v>
      </c>
      <c r="U100" s="201"/>
      <c r="V100" s="201"/>
      <c r="W100" s="201"/>
      <c r="X100" s="862"/>
      <c r="Y100" s="389"/>
    </row>
    <row r="101" spans="1:25" s="380" customFormat="1">
      <c r="A101" s="289" t="str">
        <f>"Over "&amp;TEXT('Rate Design'!V24,"#,##0")&amp;" kva"</f>
        <v>Over 0 kva</v>
      </c>
      <c r="D101" s="209">
        <f>'Rate Design'!J10</f>
        <v>9</v>
      </c>
      <c r="E101" s="209">
        <f>F101-D101</f>
        <v>0</v>
      </c>
      <c r="F101" s="209">
        <f>'Rate Design'!J20</f>
        <v>9</v>
      </c>
      <c r="G101" s="209"/>
      <c r="H101" s="209"/>
      <c r="J101" s="209">
        <f>IF(ROUND(M101-F101,5)&lt;&gt;ROUND(N101-D101,5),#VALUE!,N101-D101)</f>
        <v>1</v>
      </c>
      <c r="K101" s="408"/>
      <c r="L101" s="209"/>
      <c r="M101" s="209">
        <f>'Rate Design'!J42</f>
        <v>10</v>
      </c>
      <c r="N101" s="843">
        <f>'Rate Design'!J32</f>
        <v>10</v>
      </c>
      <c r="O101" s="209"/>
      <c r="P101" s="209"/>
      <c r="Q101" s="209">
        <f>'Rate Design'!I46</f>
        <v>0</v>
      </c>
      <c r="R101" s="316">
        <f>J101/D101</f>
        <v>0.1111111111111111</v>
      </c>
      <c r="S101" s="316">
        <f>J101/F101</f>
        <v>0.1111111111111111</v>
      </c>
      <c r="U101" s="201"/>
      <c r="V101" s="201"/>
      <c r="W101" s="201"/>
      <c r="X101" s="862"/>
      <c r="Y101" s="389"/>
    </row>
    <row r="102" spans="1:25" s="380" customFormat="1">
      <c r="A102" s="380" t="s">
        <v>322</v>
      </c>
      <c r="K102" s="201"/>
      <c r="N102" s="494"/>
      <c r="U102" s="201"/>
      <c r="V102" s="201"/>
      <c r="W102" s="201"/>
      <c r="X102" s="862"/>
      <c r="Y102" s="389"/>
    </row>
    <row r="103" spans="1:25" s="380" customFormat="1">
      <c r="A103" s="289" t="s">
        <v>323</v>
      </c>
      <c r="D103" s="209">
        <v>0.2</v>
      </c>
      <c r="E103" s="204">
        <f>F103-D103</f>
        <v>0</v>
      </c>
      <c r="F103" s="209">
        <v>0.2</v>
      </c>
      <c r="G103" s="204"/>
      <c r="H103" s="204"/>
      <c r="J103" s="204">
        <f>IF(ROUND(M103-F103,5)&lt;&gt;ROUND(N103-D103,5),#VALUE!,N103-D103)</f>
        <v>0</v>
      </c>
      <c r="K103" s="408"/>
      <c r="L103" s="204"/>
      <c r="M103" s="209">
        <v>0.2</v>
      </c>
      <c r="N103" s="843">
        <v>0.2</v>
      </c>
      <c r="O103" s="204"/>
      <c r="P103" s="204"/>
      <c r="Q103" s="204">
        <f>N103</f>
        <v>0.2</v>
      </c>
      <c r="R103" s="316">
        <f>J103/D103</f>
        <v>0</v>
      </c>
      <c r="S103" s="316">
        <f>J103/F103</f>
        <v>0</v>
      </c>
      <c r="U103" s="201"/>
      <c r="V103" s="201"/>
      <c r="W103" s="201"/>
      <c r="X103" s="862"/>
      <c r="Y103" s="389"/>
    </row>
    <row r="104" spans="1:25" s="380" customFormat="1">
      <c r="A104" s="289" t="s">
        <v>324</v>
      </c>
      <c r="D104" s="209">
        <v>1.52</v>
      </c>
      <c r="E104" s="204">
        <f>F104-D104</f>
        <v>0</v>
      </c>
      <c r="F104" s="209">
        <v>1.52</v>
      </c>
      <c r="G104" s="204"/>
      <c r="H104" s="204"/>
      <c r="J104" s="209">
        <f>IF(ROUND(M104-F104,5)&lt;&gt;ROUND(N104-D104,5),#VALUE!,N104-D104)</f>
        <v>0</v>
      </c>
      <c r="K104" s="408"/>
      <c r="L104" s="204"/>
      <c r="M104" s="209">
        <v>1.52</v>
      </c>
      <c r="N104" s="843">
        <v>1.52</v>
      </c>
      <c r="O104" s="204"/>
      <c r="P104" s="204"/>
      <c r="Q104" s="204">
        <f>N104</f>
        <v>1.52</v>
      </c>
      <c r="R104" s="316">
        <f>J104/D104</f>
        <v>0</v>
      </c>
      <c r="S104" s="316">
        <f>J104/F104</f>
        <v>0</v>
      </c>
      <c r="U104" s="201"/>
      <c r="V104" s="201"/>
      <c r="W104" s="201"/>
      <c r="X104" s="862"/>
      <c r="Y104" s="389"/>
    </row>
    <row r="105" spans="1:25" s="380" customFormat="1">
      <c r="A105" s="289" t="s">
        <v>325</v>
      </c>
      <c r="D105" s="209">
        <v>1.93</v>
      </c>
      <c r="E105" s="204">
        <f>F105-D105</f>
        <v>0</v>
      </c>
      <c r="F105" s="209">
        <v>1.93</v>
      </c>
      <c r="G105" s="204"/>
      <c r="H105" s="204"/>
      <c r="J105" s="209">
        <f>IF(ROUND(M105-F105,5)&lt;&gt;ROUND(N105-D105,5),#VALUE!,N105-D105)</f>
        <v>0</v>
      </c>
      <c r="K105" s="408"/>
      <c r="L105" s="204"/>
      <c r="M105" s="209">
        <v>1.93</v>
      </c>
      <c r="N105" s="843">
        <v>1.93</v>
      </c>
      <c r="O105" s="204"/>
      <c r="P105" s="204"/>
      <c r="Q105" s="204">
        <f>N105</f>
        <v>1.93</v>
      </c>
      <c r="R105" s="316">
        <f>J105/D105</f>
        <v>0</v>
      </c>
      <c r="S105" s="316">
        <f>J105/F105</f>
        <v>0</v>
      </c>
      <c r="U105" s="201"/>
      <c r="V105" s="201"/>
      <c r="W105" s="201"/>
      <c r="X105" s="862"/>
      <c r="Y105" s="389"/>
    </row>
    <row r="106" spans="1:25" s="380" customFormat="1">
      <c r="D106" s="318"/>
      <c r="E106" s="319"/>
      <c r="F106" s="320"/>
      <c r="G106" s="321"/>
      <c r="H106" s="320"/>
      <c r="I106" s="320"/>
      <c r="J106" s="318"/>
      <c r="K106" s="407"/>
      <c r="L106" s="321"/>
      <c r="M106" s="552"/>
      <c r="N106" s="844"/>
      <c r="O106" s="215"/>
      <c r="P106" s="215"/>
      <c r="Q106" s="214">
        <f>M106</f>
        <v>0</v>
      </c>
      <c r="R106" s="316"/>
      <c r="S106" s="316"/>
      <c r="U106" s="201"/>
      <c r="V106" s="201"/>
      <c r="W106" s="201"/>
      <c r="X106" s="862"/>
      <c r="Y106" s="389"/>
    </row>
    <row r="107" spans="1:25">
      <c r="A107" s="197" t="s">
        <v>308</v>
      </c>
      <c r="K107" s="199"/>
      <c r="N107" s="838"/>
      <c r="U107" s="201"/>
      <c r="V107" s="201"/>
      <c r="W107" s="201"/>
      <c r="X107" s="862"/>
      <c r="Y107" s="389"/>
    </row>
    <row r="108" spans="1:25">
      <c r="A108" s="43" t="s">
        <v>237</v>
      </c>
      <c r="D108" s="203">
        <f>'Rate Design'!K4</f>
        <v>25</v>
      </c>
      <c r="E108" s="202">
        <f>F108-D108</f>
        <v>0</v>
      </c>
      <c r="F108" s="203">
        <f>'Rate Design'!K14</f>
        <v>25</v>
      </c>
      <c r="G108" s="198"/>
      <c r="H108" s="203"/>
      <c r="J108" s="198">
        <f>IF(ROUND(M108-F108,5)&lt;&gt;ROUND(N108-D108,5),#VALUE!,N108-D108)</f>
        <v>5</v>
      </c>
      <c r="K108" s="199"/>
      <c r="L108" s="198"/>
      <c r="M108" s="198">
        <f>'Rate Design'!K36</f>
        <v>30</v>
      </c>
      <c r="N108" s="839">
        <f>'Rate Design'!K26</f>
        <v>30</v>
      </c>
      <c r="O108" s="198"/>
      <c r="P108" s="198"/>
      <c r="Q108" s="198">
        <f>N108</f>
        <v>30</v>
      </c>
      <c r="R108" s="316">
        <f>J108/D108</f>
        <v>0.2</v>
      </c>
      <c r="S108" s="316">
        <f>J108/F108</f>
        <v>0.2</v>
      </c>
      <c r="U108" s="201"/>
      <c r="V108" s="201"/>
      <c r="W108" s="201"/>
      <c r="X108" s="862"/>
      <c r="Y108" s="389"/>
    </row>
    <row r="109" spans="1:25">
      <c r="A109" s="43" t="s">
        <v>301</v>
      </c>
      <c r="K109" s="199"/>
      <c r="N109" s="838"/>
      <c r="U109" s="201"/>
      <c r="V109" s="201"/>
      <c r="W109" s="201"/>
      <c r="X109" s="862"/>
      <c r="Y109" s="389"/>
    </row>
    <row r="110" spans="1:25">
      <c r="A110" s="334" t="s">
        <v>641</v>
      </c>
      <c r="B110" s="494"/>
      <c r="C110" s="494"/>
      <c r="D110" s="201">
        <f>'Rate Design'!K5/100</f>
        <v>0.12229</v>
      </c>
      <c r="E110" s="201">
        <f>F110-D110</f>
        <v>1.5860000000000027E-2</v>
      </c>
      <c r="F110" s="201">
        <f>'Rate Design'!K15/100</f>
        <v>0.13815000000000002</v>
      </c>
      <c r="G110" s="199"/>
      <c r="H110" s="201">
        <f>F110+G110</f>
        <v>0.13815000000000002</v>
      </c>
      <c r="I110" s="201"/>
      <c r="J110" s="199">
        <f>N110-D110</f>
        <v>1.2760000000000007E-2</v>
      </c>
      <c r="K110" s="199">
        <v>0</v>
      </c>
      <c r="L110" s="199">
        <f>-Colstrip!K29</f>
        <v>-5.7499999999999999E-3</v>
      </c>
      <c r="M110" s="199">
        <f>F110+J110+K110+L110</f>
        <v>0.14516000000000004</v>
      </c>
      <c r="N110" s="360">
        <f>'Rate Design'!K27/100</f>
        <v>0.13505</v>
      </c>
      <c r="O110" s="317" t="e">
        <f>O15</f>
        <v>#REF!</v>
      </c>
      <c r="P110" s="317">
        <f>P15</f>
        <v>2.47E-3</v>
      </c>
      <c r="Q110" s="317" t="e">
        <f>M110+O110</f>
        <v>#REF!</v>
      </c>
      <c r="R110" s="316">
        <f>J110/D110</f>
        <v>0.10434213754190864</v>
      </c>
      <c r="S110" s="316">
        <f>(J110+L110)/F110</f>
        <v>5.0741947158885317E-2</v>
      </c>
      <c r="U110" s="201">
        <f>D110+E110-F110</f>
        <v>0</v>
      </c>
      <c r="V110" s="201">
        <f>D110+J110-N110</f>
        <v>0</v>
      </c>
      <c r="W110" s="201">
        <f>F110+G110+J110+K110+L110-M110</f>
        <v>0</v>
      </c>
      <c r="X110" s="862">
        <f>'Rate Design'!K37/100-'JDM-9 Pg 3'!M110</f>
        <v>5.7499999999999774E-3</v>
      </c>
      <c r="Y110" s="389"/>
    </row>
    <row r="111" spans="1:25" s="380" customFormat="1">
      <c r="A111" s="334" t="s">
        <v>642</v>
      </c>
      <c r="B111" s="494"/>
      <c r="C111" s="494"/>
      <c r="D111" s="201">
        <f>'Rate Design'!K5/100</f>
        <v>0.12229</v>
      </c>
      <c r="E111" s="201">
        <f>F110-D110</f>
        <v>1.5860000000000027E-2</v>
      </c>
      <c r="F111" s="201">
        <f>'Rate Design'!K15/100</f>
        <v>0.13815000000000002</v>
      </c>
      <c r="G111" s="199"/>
      <c r="H111" s="201">
        <f>F111+G111</f>
        <v>0.13815000000000002</v>
      </c>
      <c r="I111" s="201"/>
      <c r="J111" s="199">
        <f>N110-D110</f>
        <v>1.2760000000000007E-2</v>
      </c>
      <c r="K111" s="199">
        <f>K110</f>
        <v>0</v>
      </c>
      <c r="L111" s="199">
        <f>L110</f>
        <v>-5.7499999999999999E-3</v>
      </c>
      <c r="M111" s="199">
        <f t="shared" ref="M111:M112" si="16">F111+J111+K111+L111</f>
        <v>0.14516000000000004</v>
      </c>
      <c r="N111" s="360">
        <f>'Rate Design'!K27/100</f>
        <v>0.13505</v>
      </c>
      <c r="O111" s="317"/>
      <c r="P111" s="317"/>
      <c r="Q111" s="317"/>
      <c r="R111" s="316">
        <f>J111/D111</f>
        <v>0.10434213754190864</v>
      </c>
      <c r="S111" s="316">
        <f t="shared" ref="S111" si="17">(J111+L111)/F111</f>
        <v>5.0741947158885317E-2</v>
      </c>
      <c r="U111" s="201">
        <f>D111+E111-F111</f>
        <v>0</v>
      </c>
      <c r="V111" s="201">
        <f>D111+J111-N111</f>
        <v>0</v>
      </c>
      <c r="W111" s="201">
        <f>F111+G111+J111+K111+L111-M111</f>
        <v>0</v>
      </c>
      <c r="X111" s="862"/>
      <c r="Y111" s="389"/>
    </row>
    <row r="112" spans="1:25">
      <c r="A112" s="289" t="s">
        <v>311</v>
      </c>
      <c r="D112" s="201">
        <f>'Rate Design'!K6/100</f>
        <v>8.5580000000000003E-2</v>
      </c>
      <c r="E112" s="201">
        <f>F112-D112</f>
        <v>1.5860000000000013E-2</v>
      </c>
      <c r="F112" s="201">
        <f>'Rate Design'!K16/100</f>
        <v>0.10144000000000002</v>
      </c>
      <c r="G112" s="199"/>
      <c r="H112" s="201">
        <f>F112+G112</f>
        <v>0.10144000000000002</v>
      </c>
      <c r="I112" s="201"/>
      <c r="J112" s="199">
        <f>N112-D112</f>
        <v>8.9399999999999896E-3</v>
      </c>
      <c r="K112" s="199">
        <f>K110</f>
        <v>0</v>
      </c>
      <c r="L112" s="199">
        <f>L110</f>
        <v>-5.7499999999999999E-3</v>
      </c>
      <c r="M112" s="199">
        <f t="shared" si="16"/>
        <v>0.10463</v>
      </c>
      <c r="N112" s="360">
        <f>'Rate Design'!K28/100</f>
        <v>9.4519999999999993E-2</v>
      </c>
      <c r="O112" s="317" t="e">
        <f>O110</f>
        <v>#REF!</v>
      </c>
      <c r="P112" s="317">
        <f>P110</f>
        <v>2.47E-3</v>
      </c>
      <c r="Q112" s="317" t="e">
        <f>M112+O112</f>
        <v>#REF!</v>
      </c>
      <c r="R112" s="316">
        <f>J112/D112</f>
        <v>0.10446365973358249</v>
      </c>
      <c r="S112" s="316">
        <f>(J112+L112)/F112</f>
        <v>3.1447160883280652E-2</v>
      </c>
      <c r="U112" s="201">
        <f>D112+E112-F112</f>
        <v>0</v>
      </c>
      <c r="V112" s="201">
        <f>D112+J112-N112</f>
        <v>0</v>
      </c>
      <c r="W112" s="201">
        <f>F112+G112+J112+K112+L112-M112</f>
        <v>0</v>
      </c>
      <c r="X112" s="862">
        <f>'Rate Design'!K38/100-'JDM-9 Pg 3'!M112</f>
        <v>5.750000000000019E-3</v>
      </c>
      <c r="Y112" s="389"/>
    </row>
    <row r="113" spans="1:25">
      <c r="D113" s="201"/>
      <c r="E113" s="201"/>
      <c r="F113" s="201"/>
      <c r="G113" s="199"/>
      <c r="H113" s="201"/>
      <c r="I113" s="201"/>
      <c r="J113" s="199"/>
      <c r="L113" s="199"/>
      <c r="M113" s="199"/>
      <c r="N113" s="838"/>
      <c r="U113" s="364"/>
      <c r="V113" s="364"/>
      <c r="X113" s="389"/>
      <c r="Y113" s="389"/>
    </row>
    <row r="114" spans="1:25">
      <c r="A114" s="380" t="s">
        <v>898</v>
      </c>
      <c r="D114" s="201"/>
      <c r="E114" s="201"/>
      <c r="F114" s="201"/>
      <c r="G114" s="199"/>
      <c r="H114" s="201"/>
      <c r="I114" s="201"/>
      <c r="J114" s="199"/>
      <c r="L114" s="199"/>
      <c r="M114" s="199"/>
    </row>
    <row r="115" spans="1:25" ht="12.75" customHeight="1">
      <c r="A115" s="308" t="s">
        <v>905</v>
      </c>
      <c r="B115" s="307"/>
      <c r="C115" s="307"/>
      <c r="D115" s="307"/>
      <c r="E115" s="307"/>
      <c r="F115" s="307"/>
      <c r="G115" s="307"/>
      <c r="H115" s="307"/>
      <c r="I115" s="307"/>
      <c r="J115" s="307"/>
      <c r="K115" s="307"/>
      <c r="L115" s="307"/>
      <c r="M115" s="307"/>
      <c r="N115" s="307"/>
      <c r="O115" s="307"/>
      <c r="P115" s="307"/>
      <c r="Q115" s="307"/>
    </row>
    <row r="116" spans="1:25">
      <c r="A116" s="380" t="s">
        <v>899</v>
      </c>
      <c r="B116" s="307"/>
      <c r="C116" s="307"/>
      <c r="D116" s="307"/>
      <c r="E116" s="307"/>
      <c r="F116" s="307"/>
      <c r="G116" s="307"/>
      <c r="H116" s="307"/>
      <c r="I116" s="307"/>
      <c r="J116" s="307"/>
      <c r="K116" s="307"/>
      <c r="L116" s="307"/>
      <c r="M116" s="307"/>
      <c r="N116" s="307"/>
      <c r="O116" s="307"/>
      <c r="P116" s="307"/>
      <c r="Q116" s="307"/>
    </row>
    <row r="117" spans="1:25" s="380" customFormat="1">
      <c r="A117" s="413"/>
      <c r="B117" s="307"/>
      <c r="C117" s="307"/>
      <c r="D117" s="307"/>
      <c r="E117" s="307"/>
      <c r="F117" s="307"/>
      <c r="G117" s="307"/>
      <c r="H117" s="307"/>
      <c r="I117" s="307"/>
      <c r="J117" s="307"/>
      <c r="K117" s="307"/>
      <c r="L117" s="307"/>
      <c r="M117" s="307"/>
      <c r="N117" s="307"/>
      <c r="O117" s="307"/>
      <c r="P117" s="307"/>
      <c r="Q117" s="307"/>
      <c r="X117" s="320"/>
      <c r="Y117" s="320"/>
    </row>
    <row r="118" spans="1:25">
      <c r="A118" s="412"/>
      <c r="B118" s="307"/>
      <c r="C118" s="307"/>
      <c r="D118" s="307"/>
      <c r="E118" s="307"/>
      <c r="F118" s="307"/>
      <c r="G118" s="307"/>
      <c r="H118" s="307"/>
      <c r="I118" s="307"/>
      <c r="J118" s="307"/>
      <c r="K118" s="307"/>
      <c r="L118" s="307"/>
      <c r="M118" s="307"/>
      <c r="N118" s="307"/>
      <c r="O118" s="307"/>
      <c r="P118" s="307"/>
      <c r="Q118" s="307"/>
    </row>
  </sheetData>
  <mergeCells count="1">
    <mergeCell ref="A10:C10"/>
  </mergeCells>
  <phoneticPr fontId="0" type="noConversion"/>
  <pageMargins left="0.5" right="0.31" top="0.5" bottom="0.75" header="0.5" footer="0.5"/>
  <pageSetup scale="48" orientation="portrait" r:id="rId1"/>
  <headerFooter alignWithMargins="0">
    <oddHeader>&amp;R&amp;14JDM-9</oddHeader>
    <oddFooter>&amp;R&amp;12Page 3 of 3</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T89"/>
  <sheetViews>
    <sheetView zoomScale="85" zoomScaleNormal="85" workbookViewId="0">
      <selection activeCell="G41" sqref="G41"/>
    </sheetView>
  </sheetViews>
  <sheetFormatPr defaultRowHeight="12.75"/>
  <cols>
    <col min="1" max="1" width="3.7109375" style="730" bestFit="1" customWidth="1"/>
    <col min="2" max="2" width="43.7109375" style="730" customWidth="1"/>
    <col min="3" max="3" width="8.7109375" style="730" bestFit="1" customWidth="1"/>
    <col min="4" max="4" width="16.85546875" style="730" customWidth="1"/>
    <col min="5" max="6" width="12.7109375" style="730" customWidth="1"/>
    <col min="7" max="7" width="14.28515625" style="730" bestFit="1" customWidth="1"/>
    <col min="8" max="8" width="13.42578125" style="730" bestFit="1" customWidth="1"/>
    <col min="9" max="9" width="4.5703125" style="730" customWidth="1"/>
    <col min="10" max="10" width="13.5703125" style="730" bestFit="1" customWidth="1"/>
    <col min="11" max="11" width="13.5703125" style="730" hidden="1" customWidth="1"/>
    <col min="12" max="12" width="15" style="730" bestFit="1" customWidth="1"/>
    <col min="13" max="15" width="9.140625" style="730"/>
    <col min="16" max="16" width="17.28515625" style="730" bestFit="1" customWidth="1"/>
    <col min="17" max="17" width="9.140625" style="730"/>
    <col min="18" max="18" width="11.5703125" style="730" bestFit="1" customWidth="1"/>
    <col min="19" max="16384" width="9.140625" style="730"/>
  </cols>
  <sheetData>
    <row r="3" spans="1:17">
      <c r="A3" s="108" t="s">
        <v>812</v>
      </c>
    </row>
    <row r="4" spans="1:17">
      <c r="A4" s="108" t="s">
        <v>813</v>
      </c>
    </row>
    <row r="5" spans="1:17">
      <c r="A5" s="108" t="s">
        <v>814</v>
      </c>
    </row>
    <row r="6" spans="1:17" ht="15.75">
      <c r="A6" s="465"/>
      <c r="B6" s="448"/>
      <c r="C6" s="380"/>
      <c r="D6" s="322"/>
      <c r="E6" s="322"/>
      <c r="F6" s="322"/>
      <c r="G6" s="731"/>
    </row>
    <row r="7" spans="1:17" ht="15.75">
      <c r="A7" s="465"/>
      <c r="B7" s="448"/>
      <c r="C7" s="380"/>
      <c r="D7" s="322"/>
      <c r="E7" s="322"/>
      <c r="F7" s="322"/>
      <c r="G7" s="731"/>
    </row>
    <row r="8" spans="1:17" ht="15.75">
      <c r="A8" s="465"/>
      <c r="B8" s="448"/>
      <c r="C8" s="380"/>
      <c r="D8" s="322"/>
      <c r="E8" s="322"/>
      <c r="F8" s="322"/>
      <c r="G8" s="731"/>
    </row>
    <row r="9" spans="1:17">
      <c r="A9" s="448"/>
      <c r="B9" s="448"/>
      <c r="C9" s="448"/>
      <c r="D9" s="322" t="s">
        <v>200</v>
      </c>
      <c r="E9" s="322"/>
      <c r="F9" s="192" t="s">
        <v>254</v>
      </c>
      <c r="G9" s="322"/>
      <c r="J9" s="448" t="s">
        <v>644</v>
      </c>
      <c r="K9" s="448"/>
      <c r="L9" s="448"/>
      <c r="M9" s="608" t="s">
        <v>285</v>
      </c>
    </row>
    <row r="10" spans="1:17">
      <c r="A10" s="448"/>
      <c r="B10" s="448"/>
      <c r="C10" s="448"/>
      <c r="D10" s="448" t="s">
        <v>83</v>
      </c>
      <c r="E10" s="448" t="s">
        <v>815</v>
      </c>
      <c r="F10" s="608" t="s">
        <v>256</v>
      </c>
      <c r="G10" s="322" t="s">
        <v>257</v>
      </c>
      <c r="H10" s="448" t="s">
        <v>257</v>
      </c>
      <c r="J10" s="448" t="s">
        <v>83</v>
      </c>
      <c r="K10" s="448" t="s">
        <v>816</v>
      </c>
      <c r="L10" s="322"/>
      <c r="M10" s="608" t="s">
        <v>263</v>
      </c>
      <c r="O10" s="380" t="s">
        <v>818</v>
      </c>
    </row>
    <row r="11" spans="1:17">
      <c r="A11" s="448"/>
      <c r="B11" s="448" t="s">
        <v>258</v>
      </c>
      <c r="C11" s="448" t="s">
        <v>281</v>
      </c>
      <c r="D11" s="322" t="s">
        <v>282</v>
      </c>
      <c r="E11" s="322" t="s">
        <v>819</v>
      </c>
      <c r="F11" s="192" t="s">
        <v>285</v>
      </c>
      <c r="G11" s="322" t="s">
        <v>283</v>
      </c>
      <c r="H11" s="322" t="s">
        <v>200</v>
      </c>
      <c r="J11" s="448" t="s">
        <v>286</v>
      </c>
      <c r="K11" s="448" t="s">
        <v>295</v>
      </c>
      <c r="L11" s="322"/>
      <c r="M11" s="608" t="s">
        <v>287</v>
      </c>
      <c r="O11" s="380" t="s">
        <v>254</v>
      </c>
    </row>
    <row r="12" spans="1:17">
      <c r="A12" s="309" t="s">
        <v>260</v>
      </c>
      <c r="B12" s="309" t="s">
        <v>261</v>
      </c>
      <c r="C12" s="309" t="s">
        <v>262</v>
      </c>
      <c r="D12" s="325" t="s">
        <v>288</v>
      </c>
      <c r="E12" s="325" t="s">
        <v>263</v>
      </c>
      <c r="F12" s="194" t="s">
        <v>263</v>
      </c>
      <c r="G12" s="325" t="s">
        <v>263</v>
      </c>
      <c r="H12" s="325" t="s">
        <v>83</v>
      </c>
      <c r="J12" s="309" t="s">
        <v>400</v>
      </c>
      <c r="K12" s="309" t="s">
        <v>670</v>
      </c>
      <c r="L12" s="325" t="s">
        <v>934</v>
      </c>
      <c r="M12" s="195" t="s">
        <v>83</v>
      </c>
      <c r="O12" s="380" t="s">
        <v>670</v>
      </c>
      <c r="P12" s="108" t="s">
        <v>820</v>
      </c>
      <c r="Q12" s="108" t="s">
        <v>817</v>
      </c>
    </row>
    <row r="13" spans="1:17">
      <c r="A13" s="448"/>
      <c r="B13" s="448" t="s">
        <v>264</v>
      </c>
      <c r="C13" s="448" t="s">
        <v>265</v>
      </c>
      <c r="D13" s="322" t="s">
        <v>266</v>
      </c>
      <c r="E13" s="448" t="s">
        <v>267</v>
      </c>
      <c r="F13" s="322" t="s">
        <v>268</v>
      </c>
      <c r="G13" s="448" t="s">
        <v>269</v>
      </c>
      <c r="H13" s="322" t="s">
        <v>270</v>
      </c>
      <c r="J13" s="448" t="s">
        <v>289</v>
      </c>
      <c r="K13" s="448" t="s">
        <v>388</v>
      </c>
      <c r="L13" s="448" t="s">
        <v>290</v>
      </c>
      <c r="M13" s="608" t="s">
        <v>342</v>
      </c>
      <c r="P13" s="108"/>
      <c r="Q13" s="108"/>
    </row>
    <row r="14" spans="1:17">
      <c r="A14" s="448"/>
      <c r="B14" s="380"/>
      <c r="C14" s="448"/>
      <c r="D14" s="326"/>
      <c r="E14" s="326"/>
      <c r="F14" s="403"/>
      <c r="G14" s="327"/>
      <c r="J14" s="380"/>
      <c r="K14" s="380"/>
      <c r="L14" s="380"/>
      <c r="M14" s="380"/>
      <c r="P14" s="108"/>
      <c r="Q14" s="108"/>
    </row>
    <row r="15" spans="1:17">
      <c r="A15" s="448">
        <v>1</v>
      </c>
      <c r="B15" s="380" t="s">
        <v>271</v>
      </c>
      <c r="C15" s="358" t="s">
        <v>901</v>
      </c>
      <c r="D15" s="322">
        <f ca="1">'Pres &amp; Prop Rev'!D152/1000</f>
        <v>309184.26929999999</v>
      </c>
      <c r="E15" s="854">
        <v>1.4121213615445656</v>
      </c>
      <c r="F15" s="498">
        <f ca="1">E15*$E$36</f>
        <v>0.15440572049444279</v>
      </c>
      <c r="G15" s="322">
        <f ca="1">F15*D15</f>
        <v>47739.819866814323</v>
      </c>
      <c r="H15" s="220">
        <f ca="1">D15+G15</f>
        <v>356924.08916681429</v>
      </c>
      <c r="J15" s="322">
        <f>'JDM-9 Pg 1'!I42</f>
        <v>316945.38373</v>
      </c>
      <c r="K15" s="322">
        <v>0</v>
      </c>
      <c r="L15" s="732">
        <v>0</v>
      </c>
      <c r="M15" s="306">
        <f ca="1">IF(J15=0,0,(G15+K15+L15)/J15)</f>
        <v>0.15062475214178545</v>
      </c>
      <c r="N15" s="220">
        <f ca="1">+G15+K15+L15</f>
        <v>47739.819866814323</v>
      </c>
      <c r="O15" s="403">
        <f ca="1">(G15)/D15</f>
        <v>0.15440572049444279</v>
      </c>
      <c r="P15" s="403">
        <f ca="1">(G15)/J15</f>
        <v>0.15062475214178545</v>
      </c>
      <c r="Q15" s="403">
        <f>L15/J15</f>
        <v>0</v>
      </c>
    </row>
    <row r="16" spans="1:17">
      <c r="A16" s="448"/>
      <c r="B16" s="380"/>
      <c r="C16" s="448"/>
      <c r="D16" s="322"/>
      <c r="E16" s="854"/>
      <c r="F16" s="498"/>
      <c r="G16" s="322"/>
      <c r="H16" s="220"/>
      <c r="J16" s="322"/>
      <c r="K16" s="322"/>
      <c r="L16" s="732"/>
      <c r="M16" s="306"/>
      <c r="N16" s="220"/>
      <c r="O16" s="403"/>
      <c r="P16" s="403"/>
      <c r="Q16" s="403"/>
    </row>
    <row r="17" spans="1:20">
      <c r="A17" s="448">
        <v>2</v>
      </c>
      <c r="B17" s="380" t="s">
        <v>272</v>
      </c>
      <c r="C17" s="358" t="s">
        <v>418</v>
      </c>
      <c r="D17" s="322">
        <f ca="1">'Pres &amp; Prop Rev'!E152/1000</f>
        <v>94545.999391428573</v>
      </c>
      <c r="E17" s="854">
        <v>0.75</v>
      </c>
      <c r="F17" s="498">
        <f ca="1">E17*$E$36</f>
        <v>8.2007321413342549E-2</v>
      </c>
      <c r="G17" s="322">
        <f ca="1">F17*D17</f>
        <v>7753.4641604385724</v>
      </c>
      <c r="H17" s="220">
        <f ca="1">D17+G17</f>
        <v>102299.46355186714</v>
      </c>
      <c r="J17" s="322">
        <f>'JDM-9 Pg 1'!I44</f>
        <v>107143.91402999984</v>
      </c>
      <c r="K17" s="322">
        <v>0</v>
      </c>
      <c r="L17" s="732">
        <v>0</v>
      </c>
      <c r="M17" s="306">
        <f t="shared" ref="M17:M31" ca="1" si="0">IF(J17=0,0,(G17+K17+L17)/J17)</f>
        <v>7.2364951669281335E-2</v>
      </c>
      <c r="N17" s="220">
        <f t="shared" ref="N17:N27" ca="1" si="1">+G17+K17+L17</f>
        <v>7753.4641604385724</v>
      </c>
      <c r="O17" s="403">
        <f t="shared" ref="O17:O33" ca="1" si="2">(G17)/D17</f>
        <v>8.2007321413342549E-2</v>
      </c>
      <c r="P17" s="403">
        <f t="shared" ref="P17:P33" ca="1" si="3">(G17)/J17</f>
        <v>7.2364951669281335E-2</v>
      </c>
      <c r="Q17" s="403">
        <f t="shared" ref="Q17:Q33" si="4">L17/J17</f>
        <v>0</v>
      </c>
    </row>
    <row r="18" spans="1:20">
      <c r="A18" s="448"/>
      <c r="B18" s="380"/>
      <c r="C18" s="358"/>
      <c r="D18" s="322"/>
      <c r="E18" s="854"/>
      <c r="F18" s="498"/>
      <c r="G18" s="322"/>
      <c r="H18" s="220"/>
      <c r="J18" s="322"/>
      <c r="K18" s="322"/>
      <c r="L18" s="732"/>
      <c r="M18" s="306"/>
      <c r="N18" s="220"/>
      <c r="O18" s="403"/>
      <c r="P18" s="403"/>
      <c r="Q18" s="403"/>
    </row>
    <row r="19" spans="1:20">
      <c r="A19" s="448">
        <v>3</v>
      </c>
      <c r="B19" s="380" t="s">
        <v>767</v>
      </c>
      <c r="C19" s="359">
        <v>13</v>
      </c>
      <c r="D19" s="322">
        <f ca="1">'Pres &amp; Prop Rev'!F152/1000</f>
        <v>51.71434</v>
      </c>
      <c r="E19" s="854">
        <v>1</v>
      </c>
      <c r="F19" s="498">
        <f ca="1">E19*$E$36</f>
        <v>0.10934309521779007</v>
      </c>
      <c r="G19" s="322">
        <f ca="1">F19*D19</f>
        <v>5.6546060027451697</v>
      </c>
      <c r="H19" s="220">
        <f ca="1">D19+G19</f>
        <v>57.368946002745169</v>
      </c>
      <c r="J19" s="322">
        <f>'JDM-9 Pg 1'!I46</f>
        <v>58.752369999999999</v>
      </c>
      <c r="K19" s="322"/>
      <c r="L19" s="732">
        <v>0</v>
      </c>
      <c r="M19" s="306">
        <f t="shared" ca="1" si="0"/>
        <v>9.624473025930988E-2</v>
      </c>
      <c r="N19" s="220">
        <f t="shared" ca="1" si="1"/>
        <v>5.6546060027451697</v>
      </c>
      <c r="O19" s="403">
        <f t="shared" ca="1" si="2"/>
        <v>0.10934309521779007</v>
      </c>
      <c r="P19" s="403">
        <f ca="1">(G19)/J19</f>
        <v>9.624473025930988E-2</v>
      </c>
      <c r="Q19" s="403">
        <f>IF(J19=0,0,L19/J19)</f>
        <v>0</v>
      </c>
    </row>
    <row r="20" spans="1:20">
      <c r="A20" s="448"/>
      <c r="B20" s="380"/>
      <c r="C20" s="448"/>
      <c r="D20" s="322"/>
      <c r="E20" s="854"/>
      <c r="F20" s="498"/>
      <c r="G20" s="322"/>
      <c r="H20" s="220"/>
      <c r="J20" s="322"/>
      <c r="K20" s="322"/>
      <c r="L20" s="732"/>
      <c r="M20" s="306"/>
      <c r="N20" s="220"/>
      <c r="O20" s="403"/>
      <c r="P20" s="403"/>
      <c r="Q20" s="403"/>
    </row>
    <row r="21" spans="1:20">
      <c r="A21" s="448">
        <v>3</v>
      </c>
      <c r="B21" s="380" t="s">
        <v>273</v>
      </c>
      <c r="C21" s="359" t="s">
        <v>419</v>
      </c>
      <c r="D21" s="322">
        <f ca="1">'Pres &amp; Prop Rev'!G152/1000</f>
        <v>137261.87918028573</v>
      </c>
      <c r="E21" s="854">
        <v>0.5</v>
      </c>
      <c r="F21" s="498">
        <f ca="1">E21*$E$36</f>
        <v>5.4671547608895033E-2</v>
      </c>
      <c r="G21" s="322">
        <f ca="1">F21*D21</f>
        <v>7504.3193624913893</v>
      </c>
      <c r="H21" s="220">
        <f ca="1">D21+G21</f>
        <v>144766.19854277713</v>
      </c>
      <c r="J21" s="322">
        <f>'JDM-9 Pg 1'!I48</f>
        <v>158449.03737999956</v>
      </c>
      <c r="K21" s="322">
        <v>0</v>
      </c>
      <c r="L21" s="732">
        <v>0</v>
      </c>
      <c r="M21" s="306">
        <f t="shared" ca="1" si="0"/>
        <v>4.73610915318734E-2</v>
      </c>
      <c r="N21" s="220">
        <f t="shared" ca="1" si="1"/>
        <v>7504.3193624913893</v>
      </c>
      <c r="O21" s="403">
        <f t="shared" ca="1" si="2"/>
        <v>5.4671547608895033E-2</v>
      </c>
      <c r="P21" s="403">
        <f t="shared" ca="1" si="3"/>
        <v>4.73610915318734E-2</v>
      </c>
      <c r="Q21" s="403">
        <f t="shared" si="4"/>
        <v>0</v>
      </c>
    </row>
    <row r="22" spans="1:20">
      <c r="A22" s="448"/>
      <c r="B22" s="380"/>
      <c r="C22" s="359"/>
      <c r="D22" s="322"/>
      <c r="E22" s="854"/>
      <c r="F22" s="498"/>
      <c r="G22" s="322"/>
      <c r="H22" s="220"/>
      <c r="J22" s="322"/>
      <c r="K22" s="322"/>
      <c r="L22" s="732"/>
      <c r="M22" s="306"/>
      <c r="N22" s="220"/>
      <c r="O22" s="403"/>
      <c r="P22" s="403"/>
      <c r="Q22" s="403"/>
    </row>
    <row r="23" spans="1:20">
      <c r="A23" s="448">
        <v>5</v>
      </c>
      <c r="B23" s="380" t="s">
        <v>766</v>
      </c>
      <c r="C23" s="359">
        <v>23</v>
      </c>
      <c r="D23" s="322">
        <f ca="1">'Pres &amp; Prop Rev'!H152/1000</f>
        <v>69.124139999999997</v>
      </c>
      <c r="E23" s="854">
        <v>1</v>
      </c>
      <c r="F23" s="498">
        <f t="shared" ref="F23" ca="1" si="5">E23*$E$36</f>
        <v>0.10934309521779007</v>
      </c>
      <c r="G23" s="322">
        <f ca="1">F23*D23</f>
        <v>7.5582474218678506</v>
      </c>
      <c r="H23" s="220">
        <f ca="1">D23+G23</f>
        <v>76.682387421867844</v>
      </c>
      <c r="J23" s="322">
        <f>'JDM-9 Pg 1'!I50</f>
        <v>76.621409999999997</v>
      </c>
      <c r="K23" s="322"/>
      <c r="L23" s="732">
        <v>0</v>
      </c>
      <c r="M23" s="306">
        <f t="shared" ca="1" si="0"/>
        <v>9.8644065958429256E-2</v>
      </c>
      <c r="N23" s="220">
        <f t="shared" ca="1" si="1"/>
        <v>7.5582474218678506</v>
      </c>
      <c r="O23" s="403">
        <f t="shared" ca="1" si="2"/>
        <v>0.10934309521779007</v>
      </c>
      <c r="P23" s="403">
        <f t="shared" ca="1" si="3"/>
        <v>9.8644065958429256E-2</v>
      </c>
      <c r="Q23" s="403">
        <f>IF(J23=0,0,L23/J23)</f>
        <v>0</v>
      </c>
    </row>
    <row r="24" spans="1:20">
      <c r="A24" s="448"/>
      <c r="B24" s="380"/>
      <c r="C24" s="448"/>
      <c r="D24" s="322"/>
      <c r="E24" s="854"/>
      <c r="F24" s="498"/>
      <c r="G24" s="322"/>
      <c r="H24" s="220"/>
      <c r="J24" s="322"/>
      <c r="K24" s="322"/>
      <c r="L24" s="732"/>
      <c r="M24" s="306"/>
      <c r="N24" s="220"/>
      <c r="O24" s="403"/>
      <c r="P24" s="403"/>
      <c r="Q24" s="403"/>
    </row>
    <row r="25" spans="1:20">
      <c r="A25" s="448">
        <v>4</v>
      </c>
      <c r="B25" s="380" t="s">
        <v>291</v>
      </c>
      <c r="C25" s="448">
        <v>25</v>
      </c>
      <c r="D25" s="322">
        <f ca="1">'Pres &amp; Prop Rev'!I152/1000</f>
        <v>47978.433408150006</v>
      </c>
      <c r="E25" s="854">
        <v>0.5</v>
      </c>
      <c r="F25" s="498">
        <f ca="1">E25*$E$36</f>
        <v>5.4671547608895033E-2</v>
      </c>
      <c r="G25" s="322">
        <f ca="1">F25*D25</f>
        <v>2623.055206273873</v>
      </c>
      <c r="H25" s="220">
        <f ca="1">D25+G25</f>
        <v>50601.488614423877</v>
      </c>
      <c r="J25" s="322">
        <f>'JDM-9 Pg 1'!I52</f>
        <v>54152.110989000001</v>
      </c>
      <c r="K25" s="322">
        <v>0</v>
      </c>
      <c r="L25" s="732">
        <v>0</v>
      </c>
      <c r="M25" s="306">
        <f t="shared" ca="1" si="0"/>
        <v>4.8438651021503076E-2</v>
      </c>
      <c r="N25" s="220">
        <f t="shared" ca="1" si="1"/>
        <v>2623.055206273873</v>
      </c>
      <c r="O25" s="403">
        <f t="shared" ca="1" si="2"/>
        <v>5.4671547608895033E-2</v>
      </c>
      <c r="P25" s="403">
        <f t="shared" ca="1" si="3"/>
        <v>4.8438651021503076E-2</v>
      </c>
      <c r="Q25" s="403">
        <f t="shared" si="4"/>
        <v>0</v>
      </c>
    </row>
    <row r="26" spans="1:20">
      <c r="A26" s="448"/>
      <c r="B26" s="380"/>
      <c r="C26" s="448"/>
      <c r="D26" s="322"/>
      <c r="E26" s="854"/>
      <c r="F26" s="498"/>
      <c r="G26" s="322"/>
      <c r="H26" s="220"/>
      <c r="J26" s="322"/>
      <c r="K26" s="322"/>
      <c r="L26" s="732"/>
      <c r="M26" s="306"/>
      <c r="N26" s="220"/>
      <c r="O26" s="403"/>
      <c r="P26" s="403"/>
      <c r="Q26" s="403"/>
    </row>
    <row r="27" spans="1:20">
      <c r="A27" s="448">
        <v>5</v>
      </c>
      <c r="B27" s="380" t="s">
        <v>821</v>
      </c>
      <c r="C27" s="448" t="s">
        <v>753</v>
      </c>
      <c r="D27" s="322">
        <f ca="1">'Pres &amp; Prop Rev'!J152/1000</f>
        <v>21853.046518399999</v>
      </c>
      <c r="E27" s="854"/>
      <c r="F27" s="498">
        <f ca="1">G27/D27</f>
        <v>5.3481386947921733E-2</v>
      </c>
      <c r="G27" s="322">
        <f ca="1">E66/1000</f>
        <v>1168.7312368414841</v>
      </c>
      <c r="H27" s="220">
        <f ca="1">D27+G27</f>
        <v>23021.777755241485</v>
      </c>
      <c r="J27" s="322">
        <f>'JDM-9 Pg 1'!I54</f>
        <v>24640.376848399996</v>
      </c>
      <c r="K27" s="322">
        <v>0</v>
      </c>
      <c r="L27" s="732">
        <v>0</v>
      </c>
      <c r="M27" s="306">
        <f t="shared" ca="1" si="0"/>
        <v>4.7431548796193629E-2</v>
      </c>
      <c r="N27" s="220">
        <f t="shared" ca="1" si="1"/>
        <v>1168.7312368414841</v>
      </c>
      <c r="O27" s="403">
        <f t="shared" ca="1" si="2"/>
        <v>5.3481386947921733E-2</v>
      </c>
      <c r="P27" s="403">
        <f t="shared" ca="1" si="3"/>
        <v>4.7431548796193629E-2</v>
      </c>
      <c r="Q27" s="403">
        <f>IF(J27=0,0,L27/J27)</f>
        <v>0</v>
      </c>
    </row>
    <row r="28" spans="1:20">
      <c r="A28" s="448"/>
      <c r="B28" s="380"/>
      <c r="C28" s="448"/>
      <c r="D28" s="322"/>
      <c r="E28" s="854"/>
      <c r="F28" s="498"/>
      <c r="G28" s="322"/>
      <c r="H28" s="220"/>
      <c r="J28" s="322"/>
      <c r="K28" s="322"/>
      <c r="L28" s="732"/>
      <c r="M28" s="306"/>
      <c r="N28" s="220"/>
      <c r="O28" s="403"/>
      <c r="P28" s="403"/>
      <c r="Q28" s="403"/>
    </row>
    <row r="29" spans="1:20">
      <c r="A29" s="448">
        <v>6</v>
      </c>
      <c r="B29" s="380" t="s">
        <v>274</v>
      </c>
      <c r="C29" s="359" t="s">
        <v>420</v>
      </c>
      <c r="D29" s="322">
        <f ca="1">'Pres &amp; Prop Rev'!K152/1000</f>
        <v>14564.411460000001</v>
      </c>
      <c r="E29" s="854">
        <v>1</v>
      </c>
      <c r="F29" s="498">
        <f ca="1">E29*$E$36</f>
        <v>0.10934309521779007</v>
      </c>
      <c r="G29" s="322">
        <f ca="1">F29*D29</f>
        <v>1592.517829061853</v>
      </c>
      <c r="H29" s="220">
        <f ca="1">D29+G29</f>
        <v>16156.929289061854</v>
      </c>
      <c r="J29" s="322">
        <f>'JDM-9 Pg 1'!I56</f>
        <v>16761.510780000001</v>
      </c>
      <c r="K29" s="322">
        <v>0</v>
      </c>
      <c r="L29" s="732">
        <v>0</v>
      </c>
      <c r="M29" s="306">
        <f t="shared" ca="1" si="0"/>
        <v>9.5010399119992275E-2</v>
      </c>
      <c r="N29" s="220">
        <f ca="1">+G29+K29+L29</f>
        <v>1592.517829061853</v>
      </c>
      <c r="O29" s="403">
        <f t="shared" ca="1" si="2"/>
        <v>0.10934309521779007</v>
      </c>
      <c r="P29" s="403">
        <f t="shared" ca="1" si="3"/>
        <v>9.5010399119992275E-2</v>
      </c>
      <c r="Q29" s="403">
        <f t="shared" si="4"/>
        <v>0</v>
      </c>
    </row>
    <row r="30" spans="1:20">
      <c r="A30" s="448"/>
      <c r="B30" s="380"/>
      <c r="C30" s="448"/>
      <c r="D30" s="322"/>
      <c r="E30" s="854"/>
      <c r="F30" s="498"/>
      <c r="G30" s="322"/>
      <c r="H30" s="220"/>
      <c r="J30" s="322"/>
      <c r="K30" s="322"/>
      <c r="L30" s="732"/>
      <c r="M30" s="306"/>
      <c r="N30" s="220"/>
      <c r="O30" s="403"/>
      <c r="P30" s="403"/>
      <c r="Q30" s="403"/>
    </row>
    <row r="31" spans="1:20">
      <c r="A31" s="448">
        <v>7</v>
      </c>
      <c r="B31" s="380" t="s">
        <v>275</v>
      </c>
      <c r="C31" s="448" t="s">
        <v>321</v>
      </c>
      <c r="D31" s="328">
        <f>'Pres &amp; Prop Rev'!L152/1000</f>
        <v>7946.3589623400012</v>
      </c>
      <c r="E31" s="854">
        <v>1</v>
      </c>
      <c r="F31" s="498">
        <f ca="1">E31*$E$36</f>
        <v>0.10934309521779007</v>
      </c>
      <c r="G31" s="322">
        <f ca="1">F31*D31</f>
        <v>868.87948465388217</v>
      </c>
      <c r="H31" s="220">
        <f ca="1">D31+G31</f>
        <v>8815.2384469938843</v>
      </c>
      <c r="J31" s="322">
        <f>'JDM-9 Pg 1'!I58</f>
        <v>8833.5135223399993</v>
      </c>
      <c r="K31" s="322">
        <v>0</v>
      </c>
      <c r="L31" s="732">
        <v>0</v>
      </c>
      <c r="M31" s="306">
        <f t="shared" ca="1" si="0"/>
        <v>9.8361708787390395E-2</v>
      </c>
      <c r="N31" s="220">
        <f t="shared" ref="N31" ca="1" si="6">+G31+K31+L31</f>
        <v>868.87948465388217</v>
      </c>
      <c r="O31" s="403">
        <f t="shared" ca="1" si="2"/>
        <v>0.10934309521779007</v>
      </c>
      <c r="P31" s="403">
        <f t="shared" ca="1" si="3"/>
        <v>9.8361708787390395E-2</v>
      </c>
      <c r="Q31" s="403">
        <f t="shared" si="4"/>
        <v>0</v>
      </c>
      <c r="T31" s="400"/>
    </row>
    <row r="32" spans="1:20">
      <c r="A32" s="448"/>
      <c r="B32" s="380"/>
      <c r="C32" s="448"/>
      <c r="D32" s="322"/>
      <c r="E32" s="855"/>
      <c r="F32" s="498"/>
      <c r="G32" s="322"/>
      <c r="H32" s="220"/>
      <c r="J32" s="322"/>
      <c r="K32" s="322"/>
      <c r="L32" s="732"/>
      <c r="M32" s="306"/>
      <c r="N32" s="220"/>
      <c r="O32" s="403"/>
      <c r="P32" s="403"/>
      <c r="Q32" s="403"/>
    </row>
    <row r="33" spans="1:17">
      <c r="A33" s="448">
        <v>8</v>
      </c>
      <c r="B33" s="332" t="s">
        <v>64</v>
      </c>
      <c r="C33" s="448"/>
      <c r="D33" s="322">
        <f ca="1">SUM(D15:D31)+0.4</f>
        <v>633455.63670060423</v>
      </c>
      <c r="E33" s="322"/>
      <c r="F33" s="498">
        <f ca="1">G36/$D$33</f>
        <v>0.10934309521779007</v>
      </c>
      <c r="G33" s="322">
        <f ca="1">SUM(G15:G31)</f>
        <v>69264</v>
      </c>
      <c r="H33" s="220">
        <f ca="1">D33+G33+0.3</f>
        <v>702719.93670060427</v>
      </c>
      <c r="J33" s="322">
        <f>SUM(J15:J31)</f>
        <v>687061.22105973936</v>
      </c>
      <c r="K33" s="322">
        <v>0</v>
      </c>
      <c r="L33" s="732">
        <v>0</v>
      </c>
      <c r="M33" s="306">
        <f ca="1">IF(J33=0,0,(G33+K33+L33)/J33)</f>
        <v>0.1008119769780713</v>
      </c>
      <c r="N33" s="220">
        <f ca="1">+G33+K33+L33</f>
        <v>69264</v>
      </c>
      <c r="O33" s="403">
        <f t="shared" ca="1" si="2"/>
        <v>0.10934309521779007</v>
      </c>
      <c r="P33" s="403">
        <f t="shared" ca="1" si="3"/>
        <v>0.1008119769780713</v>
      </c>
      <c r="Q33" s="403">
        <f t="shared" si="4"/>
        <v>0</v>
      </c>
    </row>
    <row r="34" spans="1:17">
      <c r="A34" s="448"/>
      <c r="B34" s="448"/>
      <c r="C34" s="448"/>
      <c r="D34" s="333"/>
      <c r="E34" s="333"/>
      <c r="F34" s="333"/>
      <c r="G34" s="333"/>
      <c r="H34" s="333"/>
    </row>
    <row r="36" spans="1:17">
      <c r="B36" s="730" t="s">
        <v>822</v>
      </c>
      <c r="D36" s="354"/>
      <c r="E36" s="400">
        <f ca="1">G36/(D33)</f>
        <v>0.10934309521779007</v>
      </c>
      <c r="F36" s="400"/>
      <c r="G36" s="354">
        <v>69264</v>
      </c>
      <c r="H36" s="380" t="s">
        <v>842</v>
      </c>
      <c r="L36" s="220"/>
    </row>
    <row r="37" spans="1:17">
      <c r="G37" s="354"/>
      <c r="H37" s="380"/>
      <c r="L37" s="220"/>
    </row>
    <row r="38" spans="1:17">
      <c r="G38" s="220"/>
    </row>
    <row r="39" spans="1:17">
      <c r="D39" s="108"/>
      <c r="E39" s="220"/>
    </row>
    <row r="40" spans="1:17">
      <c r="E40" s="283"/>
    </row>
    <row r="42" spans="1:17">
      <c r="O42" s="380" t="s">
        <v>823</v>
      </c>
    </row>
    <row r="43" spans="1:17">
      <c r="F43" s="373"/>
      <c r="J43" s="380"/>
      <c r="K43" s="380"/>
      <c r="L43" s="380"/>
      <c r="M43" s="380" t="s">
        <v>706</v>
      </c>
    </row>
    <row r="44" spans="1:17">
      <c r="D44" s="380" t="s">
        <v>725</v>
      </c>
      <c r="F44" s="373"/>
      <c r="J44" s="493"/>
      <c r="K44" s="493"/>
      <c r="L44" s="357"/>
      <c r="O44" s="149">
        <f ca="1">O15</f>
        <v>0.15440572049444279</v>
      </c>
    </row>
    <row r="45" spans="1:17">
      <c r="E45" s="380" t="s">
        <v>263</v>
      </c>
      <c r="F45" s="356"/>
      <c r="J45" s="493"/>
      <c r="K45" s="493"/>
      <c r="L45" s="357"/>
      <c r="O45" s="448" t="s">
        <v>824</v>
      </c>
    </row>
    <row r="46" spans="1:17">
      <c r="D46" s="380" t="s">
        <v>825</v>
      </c>
      <c r="E46" s="220">
        <f ca="1">ROUND(G25*1000,-3)</f>
        <v>2623000</v>
      </c>
      <c r="F46" s="220"/>
      <c r="L46" s="604"/>
      <c r="O46" s="403">
        <f ca="1">O44*2</f>
        <v>0.30881144098888558</v>
      </c>
    </row>
    <row r="47" spans="1:17">
      <c r="D47" s="380" t="s">
        <v>826</v>
      </c>
      <c r="E47" s="369">
        <f>'Pres &amp; Prop Rev'!I23/1000</f>
        <v>627844.98616700002</v>
      </c>
      <c r="F47" s="422"/>
    </row>
    <row r="49" spans="4:19">
      <c r="D49" s="380" t="s">
        <v>827</v>
      </c>
      <c r="E49" s="452">
        <f ca="1">E46/E47</f>
        <v>4.1777828250464202</v>
      </c>
      <c r="F49" s="452"/>
      <c r="G49" s="733"/>
    </row>
    <row r="50" spans="4:19">
      <c r="E50" s="357">
        <f ca="1">E46/E49</f>
        <v>627844.98616700002</v>
      </c>
      <c r="G50" s="484"/>
      <c r="H50" s="283"/>
    </row>
    <row r="51" spans="4:19">
      <c r="F51" s="452"/>
      <c r="G51" s="733"/>
      <c r="N51" s="380"/>
    </row>
    <row r="52" spans="4:19">
      <c r="E52" s="452"/>
      <c r="G52" s="484"/>
      <c r="N52" s="380"/>
    </row>
    <row r="53" spans="4:19">
      <c r="E53" s="357"/>
    </row>
    <row r="54" spans="4:19">
      <c r="F54" s="373"/>
      <c r="P54" s="380"/>
      <c r="R54" s="380"/>
      <c r="S54" s="380"/>
    </row>
    <row r="55" spans="4:19">
      <c r="D55" s="380" t="s">
        <v>828</v>
      </c>
      <c r="E55" s="220"/>
      <c r="F55" s="373"/>
      <c r="N55" s="380"/>
      <c r="P55" s="220"/>
      <c r="R55" s="603"/>
    </row>
    <row r="56" spans="4:19">
      <c r="R56" s="603"/>
    </row>
    <row r="57" spans="4:19">
      <c r="E57" s="423" t="s">
        <v>829</v>
      </c>
      <c r="F57" s="423"/>
      <c r="G57" s="423"/>
      <c r="N57" s="380"/>
      <c r="P57" s="220"/>
      <c r="R57" s="603"/>
    </row>
    <row r="58" spans="4:19">
      <c r="D58" s="380" t="s">
        <v>725</v>
      </c>
    </row>
    <row r="60" spans="4:19">
      <c r="D60" s="380" t="s">
        <v>827</v>
      </c>
      <c r="E60" s="452">
        <f ca="1">E49</f>
        <v>4.1777828250464202</v>
      </c>
      <c r="F60" s="380"/>
      <c r="G60" s="220"/>
      <c r="P60" s="373"/>
      <c r="R60" s="373"/>
      <c r="S60" s="373"/>
    </row>
    <row r="61" spans="4:19">
      <c r="D61" s="380" t="s">
        <v>830</v>
      </c>
      <c r="E61" s="734">
        <f>0.6509</f>
        <v>0.65090000000000003</v>
      </c>
      <c r="F61" s="380"/>
      <c r="G61" s="81"/>
    </row>
    <row r="62" spans="4:19">
      <c r="E62" s="733">
        <f ca="1">E60*E61</f>
        <v>2.7193188408227149</v>
      </c>
    </row>
    <row r="64" spans="4:19">
      <c r="D64" s="380" t="s">
        <v>831</v>
      </c>
      <c r="E64" s="369">
        <f>'Pres &amp; Prop Rev'!J23/1000</f>
        <v>429788.23200000002</v>
      </c>
    </row>
    <row r="66" spans="4:10">
      <c r="D66" s="380" t="s">
        <v>832</v>
      </c>
      <c r="E66" s="357">
        <f ca="1">(E60*E61)*E64</f>
        <v>1168731.2368414842</v>
      </c>
      <c r="F66" s="400">
        <f ca="1">(E66/1000)/D27</f>
        <v>5.3481386947921733E-2</v>
      </c>
      <c r="G66" s="220"/>
      <c r="H66" s="400"/>
    </row>
    <row r="69" spans="4:10" ht="13.5" thickBot="1"/>
    <row r="70" spans="4:10">
      <c r="D70" s="735" t="s">
        <v>833</v>
      </c>
      <c r="E70" s="559"/>
      <c r="F70" s="559"/>
      <c r="G70" s="559"/>
      <c r="H70" s="559"/>
      <c r="I70" s="559"/>
      <c r="J70" s="561"/>
    </row>
    <row r="71" spans="4:10">
      <c r="D71" s="736" t="s">
        <v>834</v>
      </c>
      <c r="J71" s="565"/>
    </row>
    <row r="72" spans="4:10">
      <c r="D72" s="562"/>
      <c r="J72" s="565"/>
    </row>
    <row r="73" spans="4:10">
      <c r="D73" s="562"/>
      <c r="F73" s="380" t="s">
        <v>835</v>
      </c>
      <c r="H73" s="380" t="s">
        <v>826</v>
      </c>
      <c r="J73" s="737" t="s">
        <v>836</v>
      </c>
    </row>
    <row r="74" spans="4:10">
      <c r="D74" s="736" t="s">
        <v>725</v>
      </c>
      <c r="F74" s="220">
        <v>45108846.983799994</v>
      </c>
      <c r="H74" s="738">
        <v>620117.68591500004</v>
      </c>
      <c r="J74" s="739">
        <f>F74/H74</f>
        <v>72.742397142311304</v>
      </c>
    </row>
    <row r="75" spans="4:10">
      <c r="D75" s="562"/>
      <c r="H75" s="738"/>
      <c r="J75" s="739"/>
    </row>
    <row r="76" spans="4:10">
      <c r="D76" s="736" t="s">
        <v>837</v>
      </c>
      <c r="F76" s="220">
        <v>21357310.436499998</v>
      </c>
      <c r="H76" s="738">
        <v>451099.44799999997</v>
      </c>
      <c r="J76" s="739">
        <f t="shared" ref="J76" si="7">F76/H76</f>
        <v>47.345015674902797</v>
      </c>
    </row>
    <row r="77" spans="4:10">
      <c r="D77" s="562"/>
      <c r="J77" s="565"/>
    </row>
    <row r="78" spans="4:10" ht="13.5" thickBot="1">
      <c r="D78" s="562"/>
      <c r="J78" s="565"/>
    </row>
    <row r="79" spans="4:10" ht="13.5" thickBot="1">
      <c r="D79" s="569"/>
      <c r="E79" s="440"/>
      <c r="F79" s="440"/>
      <c r="G79" s="440"/>
      <c r="H79" s="440"/>
      <c r="I79" s="440"/>
      <c r="J79" s="740">
        <f>J76/J74</f>
        <v>0.65085861251284116</v>
      </c>
    </row>
    <row r="83" spans="4:11">
      <c r="D83" s="877" t="s">
        <v>892</v>
      </c>
      <c r="E83" s="878"/>
      <c r="F83" s="878"/>
      <c r="G83" s="878"/>
      <c r="H83" s="878"/>
      <c r="I83" s="878"/>
      <c r="J83" s="878"/>
      <c r="K83" s="878"/>
    </row>
    <row r="84" spans="4:11">
      <c r="D84" s="878"/>
      <c r="E84" s="878"/>
      <c r="F84" s="878"/>
      <c r="G84" s="878"/>
      <c r="H84" s="878"/>
      <c r="I84" s="878"/>
      <c r="J84" s="878"/>
      <c r="K84" s="878"/>
    </row>
    <row r="85" spans="4:11">
      <c r="D85" s="878"/>
      <c r="E85" s="878"/>
      <c r="F85" s="878"/>
      <c r="G85" s="878"/>
      <c r="H85" s="878"/>
      <c r="I85" s="878"/>
      <c r="J85" s="878"/>
      <c r="K85" s="878"/>
    </row>
    <row r="86" spans="4:11">
      <c r="D86" s="878"/>
      <c r="E86" s="878"/>
      <c r="F86" s="878"/>
      <c r="G86" s="878"/>
      <c r="H86" s="878"/>
      <c r="I86" s="878"/>
      <c r="J86" s="878"/>
      <c r="K86" s="878"/>
    </row>
    <row r="87" spans="4:11">
      <c r="D87" s="878"/>
      <c r="E87" s="878"/>
      <c r="F87" s="878"/>
      <c r="G87" s="878"/>
      <c r="H87" s="878"/>
      <c r="I87" s="878"/>
      <c r="J87" s="878"/>
      <c r="K87" s="878"/>
    </row>
    <row r="88" spans="4:11">
      <c r="D88" s="878"/>
      <c r="E88" s="878"/>
      <c r="F88" s="878"/>
      <c r="G88" s="878"/>
      <c r="H88" s="878"/>
      <c r="I88" s="878"/>
      <c r="J88" s="878"/>
      <c r="K88" s="878"/>
    </row>
    <row r="89" spans="4:11" ht="72.75" customHeight="1">
      <c r="D89" s="878"/>
      <c r="E89" s="878"/>
      <c r="F89" s="878"/>
      <c r="G89" s="878"/>
      <c r="H89" s="878"/>
      <c r="I89" s="878"/>
      <c r="J89" s="878"/>
      <c r="K89" s="878"/>
    </row>
  </sheetData>
  <mergeCells count="1">
    <mergeCell ref="D83:K89"/>
  </mergeCells>
  <phoneticPr fontId="15" type="noConversion"/>
  <conditionalFormatting sqref="D34:G34">
    <cfRule type="cellIs" dxfId="29" priority="2" stopIfTrue="1" operator="notEqual">
      <formula>0</formula>
    </cfRule>
  </conditionalFormatting>
  <conditionalFormatting sqref="H34">
    <cfRule type="cellIs" dxfId="28" priority="1" stopIfTrue="1" operator="notEqual">
      <formula>0</formula>
    </cfRule>
  </conditionalFormatting>
  <pageMargins left="0.7" right="0.7" top="0.75" bottom="0.75" header="0.3" footer="0.3"/>
  <pageSetup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6232-CCEC-4E44-AC93-6BBE55AB82C4}">
  <dimension ref="A1:L33"/>
  <sheetViews>
    <sheetView workbookViewId="0">
      <selection activeCell="O26" sqref="O26"/>
    </sheetView>
  </sheetViews>
  <sheetFormatPr defaultRowHeight="12.75"/>
  <cols>
    <col min="2" max="2" width="41" bestFit="1" customWidth="1"/>
    <col min="3" max="3" width="8.7109375" bestFit="1" customWidth="1"/>
    <col min="7" max="7" width="8.85546875" bestFit="1" customWidth="1"/>
    <col min="8" max="8" width="9.7109375" bestFit="1" customWidth="1"/>
    <col min="10" max="10" width="13.5703125" bestFit="1" customWidth="1"/>
    <col min="11" max="11" width="9.7109375" bestFit="1" customWidth="1"/>
    <col min="12" max="12" width="18.5703125" bestFit="1" customWidth="1"/>
  </cols>
  <sheetData>
    <row r="1" spans="1:12">
      <c r="A1" s="730"/>
      <c r="B1" s="730"/>
      <c r="C1" s="730"/>
      <c r="D1" s="730"/>
      <c r="E1" s="730"/>
      <c r="F1" s="730"/>
      <c r="G1" s="730"/>
      <c r="H1" s="730"/>
    </row>
    <row r="2" spans="1:12">
      <c r="A2" s="730"/>
      <c r="B2" s="730"/>
      <c r="C2" s="730"/>
      <c r="D2" s="730"/>
      <c r="E2" s="730"/>
      <c r="F2" s="730"/>
      <c r="G2" s="730"/>
      <c r="H2" s="730"/>
    </row>
    <row r="3" spans="1:12">
      <c r="A3" s="108" t="s">
        <v>812</v>
      </c>
      <c r="B3" s="730"/>
      <c r="C3" s="730"/>
      <c r="D3" s="730"/>
      <c r="E3" s="730"/>
      <c r="F3" s="730"/>
      <c r="G3" s="730"/>
      <c r="H3" s="730"/>
    </row>
    <row r="4" spans="1:12">
      <c r="A4" s="108" t="s">
        <v>813</v>
      </c>
      <c r="B4" s="730"/>
      <c r="C4" s="730"/>
      <c r="D4" s="730"/>
      <c r="E4" s="730"/>
      <c r="F4" s="730"/>
      <c r="G4" s="730"/>
      <c r="H4" s="730"/>
    </row>
    <row r="5" spans="1:12">
      <c r="A5" s="108" t="s">
        <v>814</v>
      </c>
      <c r="B5" s="730"/>
      <c r="C5" s="730"/>
      <c r="D5" s="730"/>
      <c r="E5" s="730"/>
      <c r="F5" s="730"/>
      <c r="G5" s="730"/>
      <c r="H5" s="730"/>
    </row>
    <row r="6" spans="1:12" ht="15.75">
      <c r="A6" s="465"/>
      <c r="B6" s="448"/>
      <c r="C6" s="380"/>
      <c r="D6" s="322"/>
      <c r="E6" s="322"/>
      <c r="F6" s="322"/>
      <c r="G6" s="731"/>
      <c r="H6" s="730"/>
    </row>
    <row r="7" spans="1:12" ht="15.75">
      <c r="A7" s="465"/>
      <c r="B7" s="448"/>
      <c r="C7" s="380"/>
      <c r="D7" s="322"/>
      <c r="E7" s="322"/>
      <c r="F7" s="322"/>
      <c r="G7" s="731"/>
      <c r="H7" s="730"/>
    </row>
    <row r="8" spans="1:12" ht="15.75">
      <c r="A8" s="465"/>
      <c r="B8" s="448"/>
      <c r="C8" s="380"/>
      <c r="D8" s="322"/>
      <c r="E8" s="322"/>
      <c r="F8" s="322"/>
      <c r="G8" s="731"/>
      <c r="H8" s="730"/>
    </row>
    <row r="9" spans="1:12">
      <c r="A9" s="448"/>
      <c r="B9" s="448"/>
      <c r="C9" s="448"/>
      <c r="D9" s="322" t="s">
        <v>200</v>
      </c>
      <c r="E9" s="322"/>
      <c r="F9" s="192" t="s">
        <v>254</v>
      </c>
      <c r="G9" s="322"/>
      <c r="H9" s="730"/>
    </row>
    <row r="10" spans="1:12">
      <c r="A10" s="448"/>
      <c r="B10" s="448"/>
      <c r="C10" s="448"/>
      <c r="D10" s="448" t="s">
        <v>83</v>
      </c>
      <c r="E10" s="448" t="s">
        <v>815</v>
      </c>
      <c r="F10" s="608" t="s">
        <v>256</v>
      </c>
      <c r="G10" s="322" t="s">
        <v>257</v>
      </c>
      <c r="H10" s="448" t="s">
        <v>257</v>
      </c>
      <c r="J10" s="448"/>
      <c r="K10" s="421" t="s">
        <v>912</v>
      </c>
      <c r="L10" s="861" t="s">
        <v>913</v>
      </c>
    </row>
    <row r="11" spans="1:12" ht="15">
      <c r="A11" s="448"/>
      <c r="B11" s="448" t="s">
        <v>258</v>
      </c>
      <c r="C11" s="448" t="s">
        <v>281</v>
      </c>
      <c r="D11" s="322" t="s">
        <v>282</v>
      </c>
      <c r="E11" s="322" t="s">
        <v>819</v>
      </c>
      <c r="F11" s="192" t="s">
        <v>285</v>
      </c>
      <c r="G11" s="322" t="s">
        <v>283</v>
      </c>
      <c r="H11" s="322" t="s">
        <v>200</v>
      </c>
      <c r="J11" s="741" t="s">
        <v>386</v>
      </c>
      <c r="K11" s="421" t="s">
        <v>295</v>
      </c>
      <c r="L11" s="861" t="s">
        <v>912</v>
      </c>
    </row>
    <row r="12" spans="1:12" ht="15">
      <c r="A12" s="309" t="s">
        <v>260</v>
      </c>
      <c r="B12" s="309" t="s">
        <v>261</v>
      </c>
      <c r="C12" s="309" t="s">
        <v>262</v>
      </c>
      <c r="D12" s="325" t="s">
        <v>288</v>
      </c>
      <c r="E12" s="325" t="s">
        <v>263</v>
      </c>
      <c r="F12" s="194" t="s">
        <v>263</v>
      </c>
      <c r="G12" s="325" t="s">
        <v>263</v>
      </c>
      <c r="H12" s="325" t="s">
        <v>83</v>
      </c>
      <c r="J12" s="742" t="s">
        <v>412</v>
      </c>
      <c r="K12" s="309" t="s">
        <v>914</v>
      </c>
      <c r="L12" s="195" t="s">
        <v>83</v>
      </c>
    </row>
    <row r="13" spans="1:12" ht="15">
      <c r="A13" s="448"/>
      <c r="B13" s="448" t="s">
        <v>264</v>
      </c>
      <c r="C13" s="448" t="s">
        <v>265</v>
      </c>
      <c r="D13" s="322" t="s">
        <v>268</v>
      </c>
      <c r="E13" s="448" t="s">
        <v>269</v>
      </c>
      <c r="F13" s="322" t="s">
        <v>270</v>
      </c>
      <c r="G13" s="448" t="s">
        <v>289</v>
      </c>
      <c r="H13" s="322" t="s">
        <v>290</v>
      </c>
      <c r="J13" s="741"/>
      <c r="K13" s="448"/>
      <c r="L13" s="608"/>
    </row>
    <row r="14" spans="1:12" ht="15">
      <c r="A14" s="448"/>
      <c r="B14" s="380"/>
      <c r="C14" s="448"/>
      <c r="D14" s="326"/>
      <c r="E14" s="326"/>
      <c r="F14" s="403"/>
      <c r="G14" s="327"/>
      <c r="H14" s="730"/>
      <c r="J14" s="743"/>
      <c r="K14" s="380"/>
      <c r="L14" s="108"/>
    </row>
    <row r="15" spans="1:12" ht="15">
      <c r="A15" s="448">
        <v>1</v>
      </c>
      <c r="B15" s="380" t="s">
        <v>271</v>
      </c>
      <c r="C15" s="358" t="s">
        <v>593</v>
      </c>
      <c r="D15" s="322">
        <f ca="1">'Pres &amp; Prop Rev'!D152/1000</f>
        <v>309184.26929999999</v>
      </c>
      <c r="E15" s="497">
        <v>1</v>
      </c>
      <c r="F15" s="498">
        <f>E15*$E$36</f>
        <v>0</v>
      </c>
      <c r="G15" s="322">
        <f ca="1">'Rate Spread GRC'!G15</f>
        <v>47739.819866814323</v>
      </c>
      <c r="H15" s="220">
        <f ca="1">D15+G15</f>
        <v>356924.08916681429</v>
      </c>
      <c r="J15" s="744">
        <f>'Pres &amp; Prop Rev'!D46</f>
        <v>2586958495.49228</v>
      </c>
      <c r="K15" s="201">
        <v>6.5399999999999998E-3</v>
      </c>
      <c r="L15" s="745">
        <f>J15*K15/1000</f>
        <v>16918.70856051951</v>
      </c>
    </row>
    <row r="16" spans="1:12" ht="15">
      <c r="A16" s="448"/>
      <c r="B16" s="380"/>
      <c r="C16" s="448"/>
      <c r="D16" s="322"/>
      <c r="E16" s="497"/>
      <c r="F16" s="498"/>
      <c r="G16" s="322"/>
      <c r="H16" s="220"/>
      <c r="J16" s="743"/>
      <c r="K16" s="201"/>
      <c r="L16" s="745"/>
    </row>
    <row r="17" spans="1:12" ht="15">
      <c r="A17" s="448">
        <v>2</v>
      </c>
      <c r="B17" s="380" t="s">
        <v>272</v>
      </c>
      <c r="C17" s="358" t="s">
        <v>418</v>
      </c>
      <c r="D17" s="322">
        <f ca="1">'Pres &amp; Prop Rev'!E152/1000</f>
        <v>94545.999391428573</v>
      </c>
      <c r="E17" s="497">
        <v>1</v>
      </c>
      <c r="F17" s="498">
        <f>E17*$E$36</f>
        <v>0</v>
      </c>
      <c r="G17" s="322">
        <f ca="1">'Rate Spread GRC'!G17</f>
        <v>7753.4641604385724</v>
      </c>
      <c r="H17" s="220">
        <f ca="1">D17+G17</f>
        <v>102299.46355186714</v>
      </c>
      <c r="J17" s="744">
        <f>'Pres &amp; Prop Rev'!E46</f>
        <v>677699559.69088006</v>
      </c>
      <c r="K17" s="201">
        <v>3.2299999999999998E-3</v>
      </c>
      <c r="L17" s="745">
        <f t="shared" ref="L17:L31" si="0">J17*K17/1000</f>
        <v>2188.9695778015425</v>
      </c>
    </row>
    <row r="18" spans="1:12" ht="15">
      <c r="A18" s="448"/>
      <c r="B18" s="380"/>
      <c r="C18" s="358"/>
      <c r="D18" s="322"/>
      <c r="E18" s="497"/>
      <c r="F18" s="498"/>
      <c r="G18" s="322"/>
      <c r="H18" s="220"/>
      <c r="J18" s="743"/>
      <c r="K18" s="201"/>
      <c r="L18" s="745"/>
    </row>
    <row r="19" spans="1:12" ht="15">
      <c r="A19" s="448">
        <v>3</v>
      </c>
      <c r="B19" s="380" t="s">
        <v>767</v>
      </c>
      <c r="C19" s="359">
        <v>13</v>
      </c>
      <c r="D19" s="322">
        <f ca="1">'Pres &amp; Prop Rev'!F152/1000</f>
        <v>51.71434</v>
      </c>
      <c r="E19" s="497">
        <v>1</v>
      </c>
      <c r="F19" s="498">
        <f>E19*$E$36</f>
        <v>0</v>
      </c>
      <c r="G19" s="322">
        <f ca="1">'Rate Spread GRC'!G19</f>
        <v>5.6546060027451697</v>
      </c>
      <c r="H19" s="220">
        <f ca="1">D19+G19</f>
        <v>57.368946002745169</v>
      </c>
      <c r="J19" s="744">
        <f>'Pres &amp; Prop Rev'!F23</f>
        <v>370617.37</v>
      </c>
      <c r="K19" s="201">
        <v>3.2299999999999998E-3</v>
      </c>
      <c r="L19" s="745">
        <f t="shared" si="0"/>
        <v>1.1970941050999999</v>
      </c>
    </row>
    <row r="20" spans="1:12" ht="15">
      <c r="A20" s="448"/>
      <c r="B20" s="380"/>
      <c r="C20" s="448"/>
      <c r="D20" s="322"/>
      <c r="E20" s="497"/>
      <c r="F20" s="498"/>
      <c r="G20" s="322"/>
      <c r="H20" s="220"/>
      <c r="J20" s="743"/>
      <c r="K20" s="201"/>
      <c r="L20" s="745"/>
    </row>
    <row r="21" spans="1:12" ht="15">
      <c r="A21" s="448">
        <v>3</v>
      </c>
      <c r="B21" s="380" t="s">
        <v>273</v>
      </c>
      <c r="C21" s="359" t="s">
        <v>419</v>
      </c>
      <c r="D21" s="322">
        <f ca="1">'Pres &amp; Prop Rev'!G152/1000</f>
        <v>137261.87918028573</v>
      </c>
      <c r="E21" s="497">
        <v>1</v>
      </c>
      <c r="F21" s="498">
        <f>E21*$E$36</f>
        <v>0</v>
      </c>
      <c r="G21" s="322">
        <f ca="1">'Rate Spread GRC'!G21</f>
        <v>7504.3193624913893</v>
      </c>
      <c r="H21" s="220">
        <f ca="1">D21+G21</f>
        <v>144766.19854277713</v>
      </c>
      <c r="J21" s="744">
        <f>'Pres &amp; Prop Rev'!G23</f>
        <v>1283925192.6310201</v>
      </c>
      <c r="K21" s="201">
        <v>2.5300000000000001E-3</v>
      </c>
      <c r="L21" s="745">
        <f t="shared" si="0"/>
        <v>3248.3307373564812</v>
      </c>
    </row>
    <row r="22" spans="1:12" ht="15">
      <c r="A22" s="448"/>
      <c r="B22" s="380"/>
      <c r="C22" s="359"/>
      <c r="D22" s="322"/>
      <c r="E22" s="497"/>
      <c r="F22" s="498"/>
      <c r="G22" s="322"/>
      <c r="H22" s="220"/>
      <c r="J22" s="743"/>
      <c r="K22" s="201"/>
      <c r="L22" s="745"/>
    </row>
    <row r="23" spans="1:12" ht="15">
      <c r="A23" s="448">
        <v>5</v>
      </c>
      <c r="B23" s="380" t="s">
        <v>766</v>
      </c>
      <c r="C23" s="359">
        <v>23</v>
      </c>
      <c r="D23" s="322">
        <f ca="1">'Pres &amp; Prop Rev'!H152/1000</f>
        <v>69.124139999999997</v>
      </c>
      <c r="E23" s="497">
        <v>1</v>
      </c>
      <c r="F23" s="498">
        <f t="shared" ref="F23" si="1">E23*$E$36</f>
        <v>0</v>
      </c>
      <c r="G23" s="322">
        <f ca="1">'Rate Spread GRC'!G23</f>
        <v>7.5582474218678506</v>
      </c>
      <c r="H23" s="220">
        <f ca="1">D23+G23</f>
        <v>76.682387421867844</v>
      </c>
      <c r="J23" s="744">
        <f>'Pres &amp; Prop Rev'!H23</f>
        <v>451643.42999999993</v>
      </c>
      <c r="K23" s="201">
        <v>2.5300000000000001E-3</v>
      </c>
      <c r="L23" s="745">
        <f t="shared" si="0"/>
        <v>1.1426578778999998</v>
      </c>
    </row>
    <row r="24" spans="1:12" ht="15">
      <c r="A24" s="448"/>
      <c r="B24" s="380"/>
      <c r="C24" s="448"/>
      <c r="D24" s="322"/>
      <c r="E24" s="497"/>
      <c r="F24" s="498"/>
      <c r="G24" s="322"/>
      <c r="H24" s="220"/>
      <c r="J24" s="743"/>
      <c r="K24" s="201"/>
      <c r="L24" s="745"/>
    </row>
    <row r="25" spans="1:12" ht="15">
      <c r="A25" s="448">
        <v>4</v>
      </c>
      <c r="B25" s="380" t="s">
        <v>291</v>
      </c>
      <c r="C25" s="448">
        <v>25</v>
      </c>
      <c r="D25" s="322">
        <f ca="1">'Pres &amp; Prop Rev'!I152/1000</f>
        <v>47978.433408150006</v>
      </c>
      <c r="E25" s="497">
        <v>1</v>
      </c>
      <c r="F25" s="498">
        <f>E25*$E$36</f>
        <v>0</v>
      </c>
      <c r="G25" s="322">
        <f ca="1">'Rate Spread GRC'!G25</f>
        <v>2623.055206273873</v>
      </c>
      <c r="H25" s="220">
        <f ca="1">D25+G25</f>
        <v>50601.488614423877</v>
      </c>
      <c r="J25" s="744">
        <f>'Pres &amp; Prop Rev'!I23</f>
        <v>627844986.16700006</v>
      </c>
      <c r="K25" s="201">
        <v>9.2000000000000003E-4</v>
      </c>
      <c r="L25" s="745">
        <f t="shared" si="0"/>
        <v>577.61738727364002</v>
      </c>
    </row>
    <row r="26" spans="1:12" ht="15">
      <c r="A26" s="448"/>
      <c r="B26" s="380"/>
      <c r="C26" s="448"/>
      <c r="D26" s="322"/>
      <c r="E26" s="497"/>
      <c r="F26" s="498"/>
      <c r="G26" s="322"/>
      <c r="H26" s="220"/>
      <c r="J26" s="743"/>
      <c r="K26" s="201"/>
      <c r="L26" s="745"/>
    </row>
    <row r="27" spans="1:12" ht="15">
      <c r="A27" s="448">
        <v>5</v>
      </c>
      <c r="B27" s="380" t="s">
        <v>821</v>
      </c>
      <c r="C27" s="448" t="s">
        <v>753</v>
      </c>
      <c r="D27" s="322">
        <f ca="1">'Pres &amp; Prop Rev'!J152/1000</f>
        <v>21853.046518399999</v>
      </c>
      <c r="E27" s="497">
        <v>1</v>
      </c>
      <c r="F27" s="498">
        <f t="shared" ref="F27" si="2">E27*$E$36</f>
        <v>0</v>
      </c>
      <c r="G27" s="322">
        <f ca="1">'Rate Spread GRC'!G27</f>
        <v>1168.7312368414841</v>
      </c>
      <c r="H27" s="220">
        <f ca="1">D27+G27</f>
        <v>23021.777755241485</v>
      </c>
      <c r="J27" s="744">
        <f>'Pres &amp; Prop Rev'!J23</f>
        <v>429788232</v>
      </c>
      <c r="K27" s="402">
        <v>5.9000000000000003E-4</v>
      </c>
      <c r="L27" s="745">
        <f t="shared" si="0"/>
        <v>253.57505688000001</v>
      </c>
    </row>
    <row r="28" spans="1:12" ht="15">
      <c r="A28" s="448"/>
      <c r="B28" s="380"/>
      <c r="C28" s="448"/>
      <c r="D28" s="322"/>
      <c r="E28" s="497"/>
      <c r="F28" s="498"/>
      <c r="G28" s="322"/>
      <c r="H28" s="220"/>
      <c r="J28" s="743"/>
      <c r="K28" s="380"/>
      <c r="L28" s="745"/>
    </row>
    <row r="29" spans="1:12" ht="15">
      <c r="A29" s="448">
        <v>6</v>
      </c>
      <c r="B29" s="380" t="s">
        <v>274</v>
      </c>
      <c r="C29" s="359" t="s">
        <v>420</v>
      </c>
      <c r="D29" s="322">
        <f ca="1">'Pres &amp; Prop Rev'!K152/1000</f>
        <v>14564.411460000001</v>
      </c>
      <c r="E29" s="497">
        <v>1</v>
      </c>
      <c r="F29" s="498">
        <f>E29*$E$36</f>
        <v>0</v>
      </c>
      <c r="G29" s="322">
        <f ca="1">'Rate Spread GRC'!G29</f>
        <v>1592.517829061853</v>
      </c>
      <c r="H29" s="220">
        <f ca="1">D29+G29</f>
        <v>16156.929289061854</v>
      </c>
      <c r="J29" s="744">
        <f>'Pres &amp; Prop Rev'!K23</f>
        <v>140731356.46119002</v>
      </c>
      <c r="K29" s="402">
        <v>5.7499999999999999E-3</v>
      </c>
      <c r="L29" s="745">
        <f t="shared" si="0"/>
        <v>809.20529965184255</v>
      </c>
    </row>
    <row r="30" spans="1:12">
      <c r="A30" s="448"/>
      <c r="B30" s="380"/>
      <c r="C30" s="448"/>
      <c r="D30" s="322"/>
      <c r="E30" s="497"/>
      <c r="F30" s="498"/>
      <c r="G30" s="322"/>
      <c r="H30" s="220"/>
      <c r="K30" s="860"/>
      <c r="L30" s="745"/>
    </row>
    <row r="31" spans="1:12">
      <c r="A31" s="448">
        <v>7</v>
      </c>
      <c r="B31" s="380" t="s">
        <v>275</v>
      </c>
      <c r="C31" s="448" t="s">
        <v>321</v>
      </c>
      <c r="D31" s="328">
        <f>'Pres &amp; Prop Rev'!L152/1000</f>
        <v>7946.3589623400012</v>
      </c>
      <c r="E31" s="497">
        <v>1</v>
      </c>
      <c r="F31" s="498">
        <f>E31*$E$36</f>
        <v>0</v>
      </c>
      <c r="G31" s="322">
        <f ca="1">'Rate Spread GRC'!G31</f>
        <v>868.87948465388217</v>
      </c>
      <c r="H31" s="220">
        <f ca="1">D31+G31</f>
        <v>8815.2384469938843</v>
      </c>
      <c r="J31" s="493">
        <f>'Pres &amp; Prop Rev'!L23</f>
        <v>16029420.157809999</v>
      </c>
      <c r="K31" s="402">
        <v>2.6200000000000001E-2</v>
      </c>
      <c r="L31" s="745">
        <f t="shared" si="0"/>
        <v>419.97080813462202</v>
      </c>
    </row>
    <row r="32" spans="1:12">
      <c r="A32" s="448"/>
      <c r="B32" s="380"/>
      <c r="C32" s="448"/>
      <c r="D32" s="322"/>
      <c r="E32" s="322"/>
      <c r="F32" s="498"/>
      <c r="G32" s="322"/>
      <c r="H32" s="220"/>
    </row>
    <row r="33" spans="1:12">
      <c r="A33" s="448">
        <v>8</v>
      </c>
      <c r="B33" s="332" t="s">
        <v>64</v>
      </c>
      <c r="C33" s="448"/>
      <c r="D33" s="322">
        <f ca="1">SUM(D15:D31)+0.4</f>
        <v>633455.63670060423</v>
      </c>
      <c r="E33" s="322"/>
      <c r="F33" s="498">
        <f ca="1">G36/$D$33</f>
        <v>0</v>
      </c>
      <c r="G33" s="322">
        <f ca="1">SUM(G15:G31)</f>
        <v>69264</v>
      </c>
      <c r="H33" s="220">
        <f ca="1">D33+G33+0.3</f>
        <v>702719.93670060427</v>
      </c>
      <c r="J33" s="493">
        <f>SUM(J15:J31)</f>
        <v>5763799503.4001799</v>
      </c>
      <c r="L33" s="56">
        <f>SUM(L15:L31)</f>
        <v>24418.717179600637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114"/>
  <sheetViews>
    <sheetView showGridLines="0" zoomScale="145" zoomScaleNormal="145" zoomScaleSheetLayoutView="100" workbookViewId="0">
      <selection activeCell="A9" sqref="A9"/>
    </sheetView>
  </sheetViews>
  <sheetFormatPr defaultColWidth="10.7109375" defaultRowHeight="12"/>
  <cols>
    <col min="1" max="1" width="29.5703125" style="19" customWidth="1"/>
    <col min="2" max="5" width="14.7109375" style="19" customWidth="1"/>
    <col min="6" max="7" width="12.7109375" style="19" customWidth="1"/>
    <col min="8" max="16384" width="10.7109375" style="19"/>
  </cols>
  <sheetData>
    <row r="1" spans="1:17">
      <c r="A1" s="23" t="s">
        <v>78</v>
      </c>
      <c r="B1" s="222"/>
      <c r="C1" s="23"/>
      <c r="D1" s="222"/>
      <c r="E1" s="222"/>
      <c r="F1" s="222"/>
      <c r="G1" s="222"/>
    </row>
    <row r="2" spans="1:17">
      <c r="A2" s="23" t="s">
        <v>365</v>
      </c>
      <c r="B2" s="23"/>
      <c r="C2" s="23"/>
      <c r="D2" s="222"/>
      <c r="E2" s="23"/>
      <c r="F2" s="23"/>
      <c r="G2" s="23"/>
    </row>
    <row r="3" spans="1:17">
      <c r="A3" s="23" t="s">
        <v>327</v>
      </c>
      <c r="B3" s="222"/>
      <c r="C3" s="23"/>
      <c r="D3" s="222"/>
      <c r="E3" s="222"/>
      <c r="F3" s="222"/>
      <c r="G3" s="222"/>
    </row>
    <row r="4" spans="1:17">
      <c r="A4" s="23" t="s">
        <v>810</v>
      </c>
      <c r="B4" s="23"/>
      <c r="C4" s="23"/>
      <c r="D4" s="222"/>
      <c r="E4" s="23"/>
      <c r="F4" s="23"/>
      <c r="G4" s="23"/>
    </row>
    <row r="5" spans="1:17">
      <c r="A5" s="22"/>
      <c r="B5" s="23"/>
      <c r="C5" s="23"/>
      <c r="D5" s="23"/>
      <c r="E5" s="23"/>
      <c r="F5" s="23"/>
      <c r="G5" s="23"/>
    </row>
    <row r="6" spans="1:17">
      <c r="A6" s="22"/>
      <c r="B6" s="23"/>
      <c r="C6" s="23"/>
      <c r="D6" s="23"/>
      <c r="E6" s="23"/>
      <c r="F6" s="23"/>
      <c r="G6" s="23"/>
    </row>
    <row r="7" spans="1:17">
      <c r="A7" s="21"/>
      <c r="B7" s="24"/>
      <c r="C7" s="21"/>
      <c r="D7" s="21"/>
      <c r="E7" s="21"/>
      <c r="F7" s="21"/>
      <c r="G7" s="21"/>
    </row>
    <row r="8" spans="1:17">
      <c r="A8" s="25" t="s">
        <v>903</v>
      </c>
      <c r="B8" s="26" t="s">
        <v>623</v>
      </c>
      <c r="C8" s="25" t="s">
        <v>624</v>
      </c>
      <c r="D8" s="26" t="s">
        <v>625</v>
      </c>
      <c r="E8" s="26" t="s">
        <v>626</v>
      </c>
      <c r="F8" s="26" t="s">
        <v>343</v>
      </c>
      <c r="G8" s="21"/>
      <c r="I8" s="658"/>
      <c r="J8" s="659"/>
      <c r="K8" s="659"/>
      <c r="L8" s="659"/>
      <c r="M8" s="659"/>
      <c r="N8" s="659"/>
      <c r="O8" s="659"/>
      <c r="P8" s="659"/>
      <c r="Q8" s="659"/>
    </row>
    <row r="9" spans="1:17">
      <c r="A9" s="21" t="s">
        <v>745</v>
      </c>
      <c r="B9" s="20">
        <f>'Block Data'!O21</f>
        <v>1718630296.2747939</v>
      </c>
      <c r="C9" s="20">
        <f>'Block Data'!O22</f>
        <v>577659306.88565063</v>
      </c>
      <c r="D9" s="20">
        <f>'Block Data'!O23</f>
        <v>374095139.33183551</v>
      </c>
      <c r="E9" s="20">
        <f>B9+C9+D9</f>
        <v>2670384742.49228</v>
      </c>
      <c r="F9" s="20">
        <f>'REVRUNS 12ME0623'!P39</f>
        <v>2738172</v>
      </c>
      <c r="G9" s="21"/>
      <c r="H9" s="21"/>
      <c r="I9" s="658"/>
      <c r="J9" s="659"/>
      <c r="K9" s="659"/>
      <c r="L9" s="659"/>
      <c r="M9" s="659"/>
      <c r="N9" s="659"/>
      <c r="O9" s="659"/>
      <c r="P9" s="659"/>
      <c r="Q9" s="659"/>
    </row>
    <row r="10" spans="1:17" ht="14.25">
      <c r="A10" s="32" t="s">
        <v>746</v>
      </c>
      <c r="B10" s="20"/>
      <c r="C10" s="21"/>
      <c r="D10" s="20"/>
      <c r="E10" s="27">
        <f>'Block Data'!O13</f>
        <v>2670384742.49228</v>
      </c>
      <c r="F10" s="20"/>
      <c r="G10" s="21"/>
      <c r="H10" s="21"/>
      <c r="I10" s="658"/>
      <c r="J10" s="659"/>
      <c r="K10" s="659"/>
      <c r="L10" s="659"/>
      <c r="M10" s="659"/>
      <c r="N10" s="659"/>
      <c r="O10" s="659"/>
      <c r="P10" s="659"/>
      <c r="Q10" s="659"/>
    </row>
    <row r="11" spans="1:17">
      <c r="A11" s="32" t="s">
        <v>622</v>
      </c>
      <c r="B11" s="20"/>
      <c r="C11" s="21"/>
      <c r="D11" s="20"/>
      <c r="E11" s="28">
        <f>E10-E9</f>
        <v>0</v>
      </c>
      <c r="F11" s="20"/>
      <c r="G11" s="21"/>
      <c r="H11" s="21"/>
      <c r="I11" s="659"/>
      <c r="J11" s="659"/>
      <c r="K11" s="659"/>
      <c r="L11" s="659"/>
      <c r="M11" s="659"/>
      <c r="N11" s="659"/>
      <c r="O11" s="659"/>
      <c r="P11" s="659"/>
      <c r="Q11" s="659"/>
    </row>
    <row r="12" spans="1:17">
      <c r="A12" s="32"/>
      <c r="B12" s="20"/>
      <c r="C12" s="21"/>
      <c r="D12" s="20"/>
      <c r="E12" s="94"/>
      <c r="F12" s="20"/>
      <c r="G12" s="21"/>
      <c r="H12" s="21"/>
      <c r="I12" s="658"/>
      <c r="J12" s="659"/>
      <c r="K12" s="659"/>
      <c r="L12" s="659"/>
      <c r="M12" s="659"/>
      <c r="N12" s="659"/>
      <c r="O12" s="659"/>
      <c r="P12" s="659"/>
      <c r="Q12" s="659"/>
    </row>
    <row r="13" spans="1:17">
      <c r="A13" s="21"/>
      <c r="B13" s="21"/>
      <c r="C13" s="21"/>
      <c r="D13" s="21"/>
      <c r="E13" s="29"/>
      <c r="F13" s="21"/>
      <c r="G13" s="21"/>
      <c r="H13" s="21"/>
      <c r="I13" s="659"/>
      <c r="J13" s="659"/>
      <c r="K13" s="659"/>
      <c r="L13" s="659"/>
      <c r="M13" s="659"/>
      <c r="N13" s="659"/>
      <c r="O13" s="659"/>
      <c r="P13" s="659"/>
      <c r="Q13" s="659"/>
    </row>
    <row r="14" spans="1:17">
      <c r="A14" s="25" t="s">
        <v>803</v>
      </c>
      <c r="B14" s="26" t="s">
        <v>627</v>
      </c>
      <c r="C14" s="25" t="s">
        <v>628</v>
      </c>
      <c r="D14" s="26" t="s">
        <v>626</v>
      </c>
      <c r="E14" s="26" t="s">
        <v>423</v>
      </c>
      <c r="F14" s="26" t="s">
        <v>343</v>
      </c>
      <c r="G14" s="26" t="s">
        <v>424</v>
      </c>
      <c r="H14" s="21"/>
      <c r="I14" s="21"/>
    </row>
    <row r="15" spans="1:17">
      <c r="A15" s="21" t="s">
        <v>747</v>
      </c>
      <c r="B15" s="20">
        <f>'Block Data'!O38</f>
        <v>466372572.30339468</v>
      </c>
      <c r="C15" s="20">
        <f>'Block Data'!O39</f>
        <v>234380452.38748533</v>
      </c>
      <c r="D15" s="20">
        <f>B15+C15</f>
        <v>700753024.69088006</v>
      </c>
      <c r="E15" s="20">
        <f>'Block Data'!O45</f>
        <v>566912.83238095231</v>
      </c>
      <c r="F15" s="382">
        <f>'REVRUNS 12ME0623'!P40</f>
        <v>416737</v>
      </c>
      <c r="G15" s="20">
        <f>'Block Data'!O49</f>
        <v>0</v>
      </c>
      <c r="H15" s="21"/>
      <c r="I15" s="21"/>
    </row>
    <row r="16" spans="1:17" ht="14.25">
      <c r="A16" s="21" t="s">
        <v>761</v>
      </c>
      <c r="B16" s="385">
        <v>0</v>
      </c>
      <c r="C16" s="385">
        <v>0</v>
      </c>
      <c r="D16" s="30">
        <f>SUM(B16:C16)</f>
        <v>0</v>
      </c>
      <c r="E16" s="385">
        <v>0</v>
      </c>
      <c r="F16" s="387">
        <v>0</v>
      </c>
      <c r="G16" s="351">
        <v>0</v>
      </c>
      <c r="H16" s="21"/>
      <c r="I16" s="21"/>
    </row>
    <row r="17" spans="1:9">
      <c r="A17" s="21" t="s">
        <v>411</v>
      </c>
      <c r="B17" s="348">
        <f t="shared" ref="B17:G17" si="0">SUM(B15:B16)</f>
        <v>466372572.30339468</v>
      </c>
      <c r="C17" s="348">
        <f t="shared" si="0"/>
        <v>234380452.38748533</v>
      </c>
      <c r="D17" s="348">
        <f t="shared" si="0"/>
        <v>700753024.69088006</v>
      </c>
      <c r="E17" s="348">
        <f t="shared" si="0"/>
        <v>566912.83238095231</v>
      </c>
      <c r="F17" s="348">
        <f t="shared" si="0"/>
        <v>416737</v>
      </c>
      <c r="G17" s="348">
        <f t="shared" si="0"/>
        <v>0</v>
      </c>
      <c r="H17" s="21"/>
      <c r="I17" s="21"/>
    </row>
    <row r="18" spans="1:9" ht="14.25">
      <c r="A18" s="32" t="s">
        <v>746</v>
      </c>
      <c r="B18" s="94"/>
      <c r="C18" s="95"/>
      <c r="D18" s="27">
        <f>'Block Data'!O31</f>
        <v>700753024.69088006</v>
      </c>
      <c r="E18" s="21"/>
      <c r="F18" s="20"/>
      <c r="G18" s="21"/>
      <c r="H18" s="21"/>
      <c r="I18" s="21"/>
    </row>
    <row r="19" spans="1:9">
      <c r="A19" s="32" t="s">
        <v>761</v>
      </c>
      <c r="B19" s="94"/>
      <c r="C19" s="95"/>
      <c r="D19" s="348">
        <f>D16</f>
        <v>0</v>
      </c>
      <c r="E19" s="21"/>
      <c r="F19" s="20"/>
      <c r="G19" s="21"/>
      <c r="H19" s="21"/>
      <c r="I19" s="21"/>
    </row>
    <row r="20" spans="1:9" ht="14.25">
      <c r="A20" s="32" t="s">
        <v>629</v>
      </c>
      <c r="B20" s="94"/>
      <c r="C20" s="95"/>
      <c r="D20" s="27">
        <f>D18+D19</f>
        <v>700753024.69088006</v>
      </c>
      <c r="E20" s="21"/>
      <c r="F20" s="20"/>
      <c r="G20" s="21"/>
      <c r="H20" s="21"/>
      <c r="I20" s="21"/>
    </row>
    <row r="21" spans="1:9">
      <c r="A21" s="32" t="s">
        <v>622</v>
      </c>
      <c r="B21" s="20"/>
      <c r="C21" s="21"/>
      <c r="D21" s="28">
        <f>D20-D17</f>
        <v>0</v>
      </c>
      <c r="E21" s="21"/>
      <c r="F21" s="20"/>
      <c r="G21" s="21"/>
      <c r="H21" s="21"/>
      <c r="I21" s="21"/>
    </row>
    <row r="22" spans="1:9">
      <c r="A22" s="32"/>
      <c r="B22" s="20"/>
      <c r="C22" s="21"/>
      <c r="D22" s="94"/>
      <c r="E22" s="94"/>
      <c r="F22" s="20"/>
      <c r="G22" s="21"/>
      <c r="H22" s="21"/>
      <c r="I22" s="21"/>
    </row>
    <row r="23" spans="1:9">
      <c r="A23" s="21"/>
      <c r="B23" s="21"/>
      <c r="C23" s="21"/>
      <c r="D23" s="29"/>
      <c r="E23" s="21"/>
      <c r="F23" s="21"/>
      <c r="G23" s="21"/>
      <c r="H23" s="21"/>
      <c r="I23" s="21"/>
    </row>
    <row r="24" spans="1:9">
      <c r="A24" s="692" t="s">
        <v>754</v>
      </c>
      <c r="B24" s="26" t="s">
        <v>770</v>
      </c>
      <c r="C24" s="695" t="s">
        <v>771</v>
      </c>
      <c r="D24" s="26" t="s">
        <v>626</v>
      </c>
      <c r="E24" s="26"/>
      <c r="F24" s="26" t="s">
        <v>343</v>
      </c>
      <c r="G24" s="26" t="s">
        <v>424</v>
      </c>
      <c r="H24" s="21"/>
      <c r="I24" s="21"/>
    </row>
    <row r="25" spans="1:9">
      <c r="A25" s="659" t="s">
        <v>747</v>
      </c>
      <c r="B25" s="693">
        <f>'Block Data'!O54*0.24963</f>
        <v>92517.214073099996</v>
      </c>
      <c r="C25" s="693">
        <f>'Block Data'!O54*0.75037</f>
        <v>278100.15592689998</v>
      </c>
      <c r="D25" s="382">
        <f>B25+C25</f>
        <v>370617.37</v>
      </c>
      <c r="E25" s="382">
        <v>0</v>
      </c>
      <c r="F25" s="382">
        <f>'REVRUNS 12ME0623'!P41</f>
        <v>152</v>
      </c>
      <c r="G25" s="382">
        <f>'Block Data'!O76</f>
        <v>0</v>
      </c>
      <c r="H25" s="21"/>
      <c r="I25" s="21"/>
    </row>
    <row r="26" spans="1:9" ht="14.25">
      <c r="A26" s="659" t="s">
        <v>761</v>
      </c>
      <c r="B26" s="351">
        <v>0</v>
      </c>
      <c r="C26" s="351">
        <v>0</v>
      </c>
      <c r="D26" s="30">
        <f>SUM(B26:C26)</f>
        <v>0</v>
      </c>
      <c r="E26" s="385">
        <v>0</v>
      </c>
      <c r="F26" s="387">
        <v>0</v>
      </c>
      <c r="G26" s="385">
        <v>0</v>
      </c>
      <c r="H26" s="21"/>
      <c r="I26" s="21"/>
    </row>
    <row r="27" spans="1:9">
      <c r="A27" s="659" t="s">
        <v>411</v>
      </c>
      <c r="B27" s="352">
        <f t="shared" ref="B27:G27" si="1">SUM(B25:B26)</f>
        <v>92517.214073099996</v>
      </c>
      <c r="C27" s="352">
        <f t="shared" si="1"/>
        <v>278100.15592689998</v>
      </c>
      <c r="D27" s="348">
        <f t="shared" si="1"/>
        <v>370617.37</v>
      </c>
      <c r="E27" s="348">
        <f t="shared" si="1"/>
        <v>0</v>
      </c>
      <c r="F27" s="348">
        <f t="shared" si="1"/>
        <v>152</v>
      </c>
      <c r="G27" s="348">
        <f t="shared" si="1"/>
        <v>0</v>
      </c>
      <c r="H27" s="21"/>
      <c r="I27" s="21"/>
    </row>
    <row r="28" spans="1:9" ht="14.25">
      <c r="A28" s="32" t="s">
        <v>746</v>
      </c>
      <c r="B28" s="383"/>
      <c r="C28" s="95"/>
      <c r="D28" s="27">
        <f>'Block Data'!O58</f>
        <v>370616.37</v>
      </c>
      <c r="E28" s="21"/>
      <c r="F28" s="382"/>
      <c r="G28" s="21"/>
      <c r="H28" s="21"/>
      <c r="I28" s="21"/>
    </row>
    <row r="29" spans="1:9">
      <c r="A29" s="32" t="s">
        <v>761</v>
      </c>
      <c r="B29" s="383"/>
      <c r="C29" s="95"/>
      <c r="D29" s="348">
        <f>D26</f>
        <v>0</v>
      </c>
      <c r="E29" s="21"/>
      <c r="F29" s="382"/>
      <c r="G29" s="21"/>
      <c r="H29" s="21"/>
      <c r="I29" s="21"/>
    </row>
    <row r="30" spans="1:9" ht="14.25">
      <c r="A30" s="32" t="s">
        <v>629</v>
      </c>
      <c r="B30" s="383"/>
      <c r="C30" s="95"/>
      <c r="D30" s="27">
        <f>D28+D29</f>
        <v>370616.37</v>
      </c>
      <c r="E30" s="21"/>
      <c r="F30" s="382"/>
      <c r="G30" s="21"/>
      <c r="H30" s="21"/>
      <c r="I30" s="21"/>
    </row>
    <row r="31" spans="1:9">
      <c r="A31" s="32" t="s">
        <v>622</v>
      </c>
      <c r="B31" s="382"/>
      <c r="C31" s="21"/>
      <c r="D31" s="28">
        <f>D30-D27</f>
        <v>-1</v>
      </c>
      <c r="E31" s="21"/>
      <c r="F31" s="382"/>
      <c r="G31" s="21"/>
      <c r="H31" s="21"/>
      <c r="I31" s="21"/>
    </row>
    <row r="32" spans="1:9">
      <c r="A32" s="32"/>
      <c r="B32" s="382"/>
      <c r="C32" s="21"/>
      <c r="D32" s="383"/>
      <c r="E32" s="383"/>
      <c r="F32" s="382"/>
      <c r="G32" s="21"/>
      <c r="H32" s="21"/>
      <c r="I32" s="21"/>
    </row>
    <row r="33" spans="1:9">
      <c r="A33" s="21"/>
      <c r="B33" s="21"/>
      <c r="C33" s="21"/>
      <c r="D33" s="29"/>
      <c r="E33" s="21"/>
      <c r="F33" s="21"/>
      <c r="G33" s="21"/>
      <c r="H33" s="21"/>
      <c r="I33" s="21"/>
    </row>
    <row r="34" spans="1:9">
      <c r="A34" s="25" t="s">
        <v>804</v>
      </c>
      <c r="B34" s="26" t="s">
        <v>630</v>
      </c>
      <c r="C34" s="25" t="s">
        <v>631</v>
      </c>
      <c r="D34" s="26" t="s">
        <v>626</v>
      </c>
      <c r="E34" s="26" t="s">
        <v>425</v>
      </c>
      <c r="F34" s="26" t="s">
        <v>343</v>
      </c>
      <c r="G34" s="26" t="s">
        <v>424</v>
      </c>
      <c r="H34" s="21"/>
      <c r="I34" s="21"/>
    </row>
    <row r="35" spans="1:9">
      <c r="A35" s="21" t="s">
        <v>747</v>
      </c>
      <c r="B35" s="20">
        <f>'Block Data'!O91</f>
        <v>1181273588.82234</v>
      </c>
      <c r="C35" s="20">
        <f>'Block Data'!O92</f>
        <v>144121754.80867997</v>
      </c>
      <c r="D35" s="20">
        <f>B35+C35</f>
        <v>1325395343.6310201</v>
      </c>
      <c r="E35" s="382">
        <f>'Block Data'!O98</f>
        <v>2600000.3744761907</v>
      </c>
      <c r="F35" s="382">
        <f>'REVRUNS 12ME0623'!P42</f>
        <v>20410</v>
      </c>
      <c r="G35" s="20">
        <f>'Block Data'!O102</f>
        <v>310587.31999999995</v>
      </c>
      <c r="H35" s="21"/>
      <c r="I35" s="21"/>
    </row>
    <row r="36" spans="1:9">
      <c r="A36" s="21" t="s">
        <v>787</v>
      </c>
      <c r="B36" s="383">
        <v>0</v>
      </c>
      <c r="C36" s="383">
        <f>-SUM('WA Sch 25'!P32)-B36</f>
        <v>0</v>
      </c>
      <c r="D36" s="382">
        <f>SUM(B36:C36)</f>
        <v>0</v>
      </c>
      <c r="E36" s="379">
        <v>0</v>
      </c>
      <c r="F36" s="384">
        <v>0</v>
      </c>
      <c r="G36" s="379">
        <v>0</v>
      </c>
      <c r="H36" s="21"/>
      <c r="I36" s="21"/>
    </row>
    <row r="37" spans="1:9" ht="14.25">
      <c r="A37" s="21" t="s">
        <v>761</v>
      </c>
      <c r="B37" s="385">
        <v>0</v>
      </c>
      <c r="C37" s="385">
        <v>0</v>
      </c>
      <c r="D37" s="30">
        <f>SUM(B37:C37)</f>
        <v>0</v>
      </c>
      <c r="E37" s="385">
        <v>0</v>
      </c>
      <c r="F37" s="387">
        <v>0</v>
      </c>
      <c r="G37" s="351">
        <v>0</v>
      </c>
      <c r="H37" s="21"/>
      <c r="I37" s="21"/>
    </row>
    <row r="38" spans="1:9" ht="14.25">
      <c r="A38" s="21" t="s">
        <v>64</v>
      </c>
      <c r="B38" s="20">
        <f>SUM(B35:B37)</f>
        <v>1181273588.82234</v>
      </c>
      <c r="C38" s="20">
        <f>SUM(C35:C37)</f>
        <v>144121754.80867997</v>
      </c>
      <c r="D38" s="30">
        <f>SUM(B38:C38)</f>
        <v>1325395343.6310201</v>
      </c>
      <c r="E38" s="352">
        <f>SUM(E35:E37)</f>
        <v>2600000.3744761907</v>
      </c>
      <c r="F38" s="352">
        <f>SUM(F35:F37)</f>
        <v>20410</v>
      </c>
      <c r="G38" s="352">
        <f>SUM(G35:G37)</f>
        <v>310587.31999999995</v>
      </c>
      <c r="H38" s="21"/>
      <c r="I38" s="21"/>
    </row>
    <row r="39" spans="1:9" ht="14.25">
      <c r="A39" s="32" t="s">
        <v>746</v>
      </c>
      <c r="B39" s="20"/>
      <c r="C39" s="21"/>
      <c r="D39" s="27">
        <f>'Block Data'!O84</f>
        <v>1325395343.6310201</v>
      </c>
      <c r="E39" s="28"/>
      <c r="F39" s="28"/>
      <c r="G39" s="28"/>
      <c r="H39" s="21"/>
      <c r="I39" s="21"/>
    </row>
    <row r="40" spans="1:9">
      <c r="A40" s="32" t="s">
        <v>761</v>
      </c>
      <c r="B40" s="20"/>
      <c r="C40" s="21"/>
      <c r="D40" s="348">
        <f>D36</f>
        <v>0</v>
      </c>
      <c r="E40" s="21"/>
      <c r="F40" s="20"/>
      <c r="G40" s="21"/>
      <c r="H40" s="21"/>
      <c r="I40" s="21"/>
    </row>
    <row r="41" spans="1:9">
      <c r="A41" s="32" t="s">
        <v>761</v>
      </c>
      <c r="B41" s="20"/>
      <c r="C41" s="21"/>
      <c r="D41" s="348">
        <f>D37</f>
        <v>0</v>
      </c>
      <c r="E41" s="21"/>
      <c r="F41" s="20"/>
      <c r="G41" s="21"/>
      <c r="H41" s="21"/>
      <c r="I41" s="21"/>
    </row>
    <row r="42" spans="1:9" ht="14.25">
      <c r="A42" s="32" t="s">
        <v>632</v>
      </c>
      <c r="B42" s="20"/>
      <c r="C42" s="21"/>
      <c r="D42" s="27">
        <f>D39+D40+D41</f>
        <v>1325395343.6310201</v>
      </c>
      <c r="E42" s="21"/>
      <c r="F42" s="20"/>
      <c r="G42" s="21"/>
      <c r="H42" s="21"/>
      <c r="I42" s="21"/>
    </row>
    <row r="43" spans="1:9">
      <c r="A43" s="32" t="s">
        <v>622</v>
      </c>
      <c r="B43" s="20"/>
      <c r="C43" s="21"/>
      <c r="D43" s="28">
        <f>D42-D38</f>
        <v>0</v>
      </c>
      <c r="E43" s="21"/>
      <c r="F43" s="20"/>
      <c r="G43" s="21"/>
      <c r="H43" s="21"/>
      <c r="I43" s="21"/>
    </row>
    <row r="44" spans="1:9">
      <c r="A44" s="32"/>
      <c r="B44" s="20"/>
      <c r="C44" s="21"/>
      <c r="D44" s="94"/>
      <c r="E44" s="94"/>
      <c r="F44" s="20"/>
      <c r="G44" s="21"/>
      <c r="H44" s="21"/>
      <c r="I44" s="21"/>
    </row>
    <row r="45" spans="1:9">
      <c r="A45" s="21"/>
      <c r="B45" s="20"/>
      <c r="C45" s="20"/>
      <c r="D45" s="20"/>
      <c r="E45" s="21"/>
      <c r="F45" s="21"/>
      <c r="G45" s="21"/>
      <c r="H45" s="21"/>
      <c r="I45" s="21"/>
    </row>
    <row r="46" spans="1:9">
      <c r="A46" s="692" t="s">
        <v>755</v>
      </c>
      <c r="B46" s="26" t="s">
        <v>770</v>
      </c>
      <c r="C46" s="695" t="s">
        <v>771</v>
      </c>
      <c r="D46" s="26" t="s">
        <v>626</v>
      </c>
      <c r="E46" s="26"/>
      <c r="F46" s="26" t="s">
        <v>343</v>
      </c>
      <c r="G46" s="26" t="s">
        <v>424</v>
      </c>
      <c r="H46" s="21"/>
      <c r="I46" s="21"/>
    </row>
    <row r="47" spans="1:9">
      <c r="A47" s="659" t="s">
        <v>747</v>
      </c>
      <c r="B47" s="693">
        <f>'Block Data'!O107*0.243117</f>
        <v>109802.19577130998</v>
      </c>
      <c r="C47" s="693">
        <f>'Block Data'!O107*0.756883</f>
        <v>341841.23422868992</v>
      </c>
      <c r="D47" s="382">
        <f>B47+C47</f>
        <v>451643.42999999993</v>
      </c>
      <c r="E47" s="382">
        <v>0</v>
      </c>
      <c r="F47" s="382">
        <f>'REVRUNS 12ME0623'!P43</f>
        <v>37</v>
      </c>
      <c r="G47" s="382">
        <f>'Block Data'!O129</f>
        <v>0</v>
      </c>
      <c r="H47" s="21"/>
      <c r="I47" s="21"/>
    </row>
    <row r="48" spans="1:9" ht="14.25">
      <c r="A48" s="659" t="s">
        <v>761</v>
      </c>
      <c r="B48" s="694">
        <v>0</v>
      </c>
      <c r="C48" s="694">
        <v>0</v>
      </c>
      <c r="D48" s="30">
        <f>SUM(B48:C48)</f>
        <v>0</v>
      </c>
      <c r="E48" s="386">
        <v>0</v>
      </c>
      <c r="F48" s="386">
        <v>0</v>
      </c>
      <c r="G48" s="386">
        <v>0</v>
      </c>
      <c r="H48" s="21"/>
      <c r="I48" s="21"/>
    </row>
    <row r="49" spans="1:9" ht="14.25">
      <c r="A49" s="21" t="s">
        <v>64</v>
      </c>
      <c r="B49" s="382">
        <f>SUM(B47:B48)</f>
        <v>109802.19577130998</v>
      </c>
      <c r="C49" s="382">
        <f>SUM(C47:C48)</f>
        <v>341841.23422868992</v>
      </c>
      <c r="D49" s="30">
        <f>SUM(B49:C49)</f>
        <v>451643.42999999993</v>
      </c>
      <c r="E49" s="348">
        <f>SUM(E47:E48)</f>
        <v>0</v>
      </c>
      <c r="F49" s="348">
        <f>SUM(F47:F48)</f>
        <v>37</v>
      </c>
      <c r="G49" s="348">
        <f>SUM(G47:G48)</f>
        <v>0</v>
      </c>
      <c r="H49" s="21"/>
      <c r="I49" s="21"/>
    </row>
    <row r="50" spans="1:9" ht="14.25">
      <c r="A50" s="32" t="s">
        <v>746</v>
      </c>
      <c r="B50" s="382"/>
      <c r="C50" s="21"/>
      <c r="D50" s="27">
        <f>'Block Data'!O95</f>
        <v>0</v>
      </c>
      <c r="E50" s="28"/>
      <c r="F50" s="28"/>
      <c r="G50" s="28"/>
      <c r="H50" s="21"/>
      <c r="I50" s="21"/>
    </row>
    <row r="51" spans="1:9">
      <c r="A51" s="32" t="s">
        <v>761</v>
      </c>
      <c r="B51" s="382"/>
      <c r="C51" s="21"/>
      <c r="D51" s="348">
        <f>D47</f>
        <v>451643.42999999993</v>
      </c>
      <c r="E51" s="21"/>
      <c r="F51" s="382"/>
      <c r="G51" s="21"/>
      <c r="H51" s="21"/>
      <c r="I51" s="21"/>
    </row>
    <row r="52" spans="1:9">
      <c r="A52" s="32" t="s">
        <v>761</v>
      </c>
      <c r="B52" s="382"/>
      <c r="C52" s="21"/>
      <c r="D52" s="348">
        <f>D48</f>
        <v>0</v>
      </c>
      <c r="E52" s="21"/>
      <c r="F52" s="382"/>
      <c r="G52" s="21"/>
      <c r="H52" s="21"/>
      <c r="I52" s="21"/>
    </row>
    <row r="53" spans="1:9" ht="14.25">
      <c r="A53" s="32" t="s">
        <v>632</v>
      </c>
      <c r="B53" s="382"/>
      <c r="C53" s="21"/>
      <c r="D53" s="27">
        <f>D50+D51+D52</f>
        <v>451643.42999999993</v>
      </c>
      <c r="E53" s="21"/>
      <c r="F53" s="382"/>
      <c r="G53" s="21"/>
      <c r="H53" s="21"/>
      <c r="I53" s="21"/>
    </row>
    <row r="54" spans="1:9">
      <c r="A54" s="32" t="s">
        <v>622</v>
      </c>
      <c r="B54" s="382"/>
      <c r="C54" s="21"/>
      <c r="D54" s="28">
        <f>D53-D49</f>
        <v>0</v>
      </c>
      <c r="E54" s="21"/>
      <c r="F54" s="382"/>
      <c r="G54" s="21"/>
      <c r="H54" s="21"/>
      <c r="I54" s="21"/>
    </row>
    <row r="55" spans="1:9">
      <c r="A55" s="32"/>
      <c r="B55" s="382"/>
      <c r="C55" s="21"/>
      <c r="D55" s="383"/>
      <c r="E55" s="383"/>
      <c r="F55" s="382"/>
      <c r="G55" s="21"/>
      <c r="H55" s="21"/>
      <c r="I55" s="21"/>
    </row>
    <row r="56" spans="1:9">
      <c r="A56" s="21"/>
      <c r="B56" s="382"/>
      <c r="C56" s="382"/>
      <c r="D56" s="382"/>
      <c r="E56" s="21"/>
      <c r="F56" s="21"/>
      <c r="G56" s="21"/>
      <c r="H56" s="21"/>
      <c r="I56" s="21"/>
    </row>
    <row r="57" spans="1:9">
      <c r="A57" s="25" t="s">
        <v>422</v>
      </c>
      <c r="B57" s="26" t="s">
        <v>633</v>
      </c>
      <c r="C57" s="25" t="s">
        <v>634</v>
      </c>
      <c r="D57" s="219" t="s">
        <v>635</v>
      </c>
      <c r="E57" s="26" t="s">
        <v>626</v>
      </c>
      <c r="F57" s="26" t="s">
        <v>63</v>
      </c>
      <c r="G57" s="26" t="s">
        <v>343</v>
      </c>
      <c r="H57" s="21"/>
      <c r="I57" s="21"/>
    </row>
    <row r="58" spans="1:9">
      <c r="A58" s="21" t="s">
        <v>64</v>
      </c>
      <c r="B58" s="20">
        <f>'WA Sch 25'!Q25</f>
        <v>126000000</v>
      </c>
      <c r="C58" s="20">
        <f>'WA Sch 25'!R25</f>
        <v>484064827.46600002</v>
      </c>
      <c r="D58" s="20">
        <f>'WA Sch 25'!S25</f>
        <v>17780158.700999975</v>
      </c>
      <c r="E58" s="20">
        <f>SUM(B58:D58)</f>
        <v>627844986.16700006</v>
      </c>
      <c r="F58" s="20">
        <f>'WA Sch 25'!P91</f>
        <v>600031.76899999997</v>
      </c>
      <c r="G58" s="553">
        <f>(21*12)</f>
        <v>252</v>
      </c>
      <c r="H58" s="21"/>
      <c r="I58" s="21"/>
    </row>
    <row r="59" spans="1:9">
      <c r="A59" s="32"/>
      <c r="B59" s="20"/>
      <c r="C59" s="21"/>
      <c r="D59" s="94"/>
      <c r="E59" s="94"/>
      <c r="F59" s="94"/>
      <c r="G59" s="21"/>
      <c r="H59" s="21"/>
      <c r="I59" s="21"/>
    </row>
    <row r="60" spans="1:9">
      <c r="A60" s="21"/>
      <c r="B60" s="21"/>
      <c r="C60" s="21"/>
      <c r="D60" s="21"/>
      <c r="E60" s="21"/>
      <c r="F60" s="24"/>
      <c r="G60" s="21"/>
      <c r="H60" s="21"/>
      <c r="I60" s="21"/>
    </row>
    <row r="61" spans="1:9">
      <c r="A61" s="25" t="s">
        <v>756</v>
      </c>
      <c r="B61" s="26" t="s">
        <v>633</v>
      </c>
      <c r="C61" s="25" t="s">
        <v>634</v>
      </c>
      <c r="D61" s="219" t="s">
        <v>635</v>
      </c>
      <c r="E61" s="26" t="s">
        <v>626</v>
      </c>
      <c r="F61" s="26" t="s">
        <v>63</v>
      </c>
      <c r="G61" s="26" t="s">
        <v>343</v>
      </c>
      <c r="H61" s="21"/>
      <c r="I61" s="21"/>
    </row>
    <row r="62" spans="1:9">
      <c r="A62" s="21" t="s">
        <v>64</v>
      </c>
      <c r="B62" s="382">
        <f>'WA Sch 25'!Q40</f>
        <v>6000000</v>
      </c>
      <c r="C62" s="382">
        <f>'WA Sch 25'!R40</f>
        <v>66000000</v>
      </c>
      <c r="D62" s="382">
        <f>'WA Sch 25'!S40</f>
        <v>357788232</v>
      </c>
      <c r="E62" s="382">
        <f>SUM(B62:D62)</f>
        <v>429788232</v>
      </c>
      <c r="F62" s="382">
        <f>'WA Sch 25'!P95</f>
        <v>709647.84</v>
      </c>
      <c r="G62" s="553">
        <v>12</v>
      </c>
      <c r="H62" s="21"/>
      <c r="I62" s="21"/>
    </row>
    <row r="63" spans="1:9">
      <c r="A63" s="32"/>
      <c r="B63" s="382"/>
      <c r="C63" s="21"/>
      <c r="D63" s="383"/>
      <c r="E63" s="383"/>
      <c r="F63" s="383"/>
      <c r="G63" s="21"/>
      <c r="H63" s="21"/>
      <c r="I63" s="21"/>
    </row>
    <row r="64" spans="1:9">
      <c r="A64" s="21"/>
      <c r="B64" s="21"/>
      <c r="C64" s="21"/>
      <c r="D64" s="21"/>
      <c r="E64" s="21"/>
      <c r="F64" s="24"/>
      <c r="G64" s="21"/>
      <c r="H64" s="21"/>
      <c r="I64" s="21"/>
    </row>
    <row r="65" spans="1:9">
      <c r="A65" s="25" t="s">
        <v>65</v>
      </c>
      <c r="B65" s="26" t="s">
        <v>636</v>
      </c>
      <c r="C65" s="26" t="s">
        <v>637</v>
      </c>
      <c r="D65" s="26" t="s">
        <v>638</v>
      </c>
      <c r="E65" s="26" t="s">
        <v>626</v>
      </c>
      <c r="F65" s="26" t="s">
        <v>343</v>
      </c>
      <c r="G65" s="26" t="s">
        <v>424</v>
      </c>
      <c r="H65" s="21"/>
      <c r="I65" s="21"/>
    </row>
    <row r="66" spans="1:9">
      <c r="A66" s="21" t="s">
        <v>748</v>
      </c>
      <c r="B66" s="382">
        <f>'Block Data'!O146</f>
        <v>36033351.45358</v>
      </c>
      <c r="C66" s="382">
        <f>'Block Data'!O147</f>
        <v>11726158.205860002</v>
      </c>
      <c r="D66" s="382">
        <f>'Block Data'!O148</f>
        <v>99721955.801750004</v>
      </c>
      <c r="E66" s="382">
        <f>B66+C66+D66</f>
        <v>147481465.46119002</v>
      </c>
      <c r="F66" s="382">
        <f>'REVRUNS 12ME0623'!P46</f>
        <v>30627</v>
      </c>
      <c r="G66" s="20">
        <f>'Block Data'!O153</f>
        <v>0</v>
      </c>
      <c r="H66" s="21"/>
      <c r="I66" s="21"/>
    </row>
    <row r="67" spans="1:9" ht="14.25">
      <c r="A67" s="21" t="s">
        <v>761</v>
      </c>
      <c r="B67" s="30">
        <v>0</v>
      </c>
      <c r="C67" s="30">
        <v>0</v>
      </c>
      <c r="D67" s="30">
        <f>-B67-C67</f>
        <v>0</v>
      </c>
      <c r="E67" s="30">
        <f>SUM(B67:D67)</f>
        <v>0</v>
      </c>
      <c r="F67" s="382"/>
      <c r="G67" s="382"/>
      <c r="H67" s="21"/>
      <c r="I67" s="21"/>
    </row>
    <row r="68" spans="1:9">
      <c r="A68" s="32" t="s">
        <v>193</v>
      </c>
      <c r="B68" s="491">
        <f>B66+B67</f>
        <v>36033351.45358</v>
      </c>
      <c r="C68" s="491">
        <f>C66+C67</f>
        <v>11726158.205860002</v>
      </c>
      <c r="D68" s="491">
        <f>D66+D67</f>
        <v>99721955.801750004</v>
      </c>
      <c r="E68" s="382">
        <f>E66+E67</f>
        <v>147481465.46119002</v>
      </c>
      <c r="F68" s="20"/>
      <c r="G68" s="20"/>
      <c r="H68" s="21"/>
      <c r="I68" s="21"/>
    </row>
    <row r="69" spans="1:9">
      <c r="A69" s="32" t="s">
        <v>746</v>
      </c>
      <c r="B69" s="382"/>
      <c r="C69" s="382"/>
      <c r="D69" s="21"/>
      <c r="E69" s="492">
        <f>'Block Data'!O138</f>
        <v>147481465.46119002</v>
      </c>
      <c r="F69" s="21"/>
      <c r="G69" s="31"/>
      <c r="H69" s="21"/>
      <c r="I69" s="21"/>
    </row>
    <row r="70" spans="1:9">
      <c r="A70" s="32" t="s">
        <v>639</v>
      </c>
      <c r="B70" s="382"/>
      <c r="C70" s="382"/>
      <c r="D70" s="21"/>
      <c r="E70" s="382">
        <f>E69-E68</f>
        <v>0</v>
      </c>
      <c r="F70" s="21"/>
      <c r="G70" s="21"/>
    </row>
    <row r="71" spans="1:9">
      <c r="A71" s="32"/>
      <c r="B71" s="20"/>
      <c r="C71" s="21"/>
      <c r="D71" s="94"/>
      <c r="E71" s="94"/>
      <c r="F71" s="21"/>
      <c r="G71" s="21"/>
    </row>
    <row r="72" spans="1:9" ht="12.75">
      <c r="A72" s="21"/>
      <c r="B72" s="21"/>
      <c r="C72" s="21"/>
      <c r="D72" s="21"/>
      <c r="E72"/>
      <c r="F72" s="21"/>
      <c r="G72" s="21"/>
    </row>
    <row r="73" spans="1:9">
      <c r="A73" s="21"/>
      <c r="B73" s="21"/>
      <c r="C73" s="21"/>
      <c r="D73" s="21"/>
      <c r="E73" s="21"/>
      <c r="F73" s="21"/>
      <c r="G73" s="21"/>
    </row>
    <row r="74" spans="1:9">
      <c r="A74" s="21"/>
      <c r="B74" s="21"/>
      <c r="C74" s="21"/>
      <c r="D74" s="21"/>
      <c r="E74" s="21"/>
      <c r="F74" s="21"/>
      <c r="G74" s="21"/>
    </row>
    <row r="75" spans="1:9">
      <c r="A75" s="21"/>
      <c r="B75" s="21"/>
      <c r="C75" s="21"/>
      <c r="D75" s="21"/>
      <c r="E75" s="21"/>
      <c r="F75" s="21"/>
      <c r="G75" s="21"/>
    </row>
    <row r="76" spans="1:9">
      <c r="A76" s="21"/>
      <c r="B76" s="21"/>
      <c r="C76" s="21"/>
      <c r="D76" s="21"/>
      <c r="E76" s="21"/>
      <c r="F76" s="21"/>
      <c r="G76" s="21"/>
    </row>
    <row r="77" spans="1:9">
      <c r="A77" s="21"/>
      <c r="B77" s="21"/>
      <c r="C77" s="21"/>
      <c r="D77" s="21"/>
      <c r="E77" s="21"/>
      <c r="F77" s="21"/>
      <c r="G77" s="21"/>
    </row>
    <row r="78" spans="1:9">
      <c r="A78" s="21"/>
      <c r="B78" s="21"/>
      <c r="C78" s="21"/>
      <c r="D78" s="21"/>
      <c r="E78" s="21"/>
      <c r="F78" s="21"/>
      <c r="G78" s="21"/>
    </row>
    <row r="79" spans="1:9">
      <c r="A79" s="21"/>
      <c r="B79" s="21"/>
      <c r="C79" s="21"/>
      <c r="D79" s="21"/>
      <c r="E79" s="21"/>
      <c r="F79" s="21"/>
      <c r="G79" s="21"/>
    </row>
    <row r="80" spans="1:9">
      <c r="A80" s="21"/>
      <c r="B80" s="21"/>
      <c r="C80" s="21"/>
      <c r="D80" s="21"/>
      <c r="E80" s="21"/>
      <c r="F80" s="21"/>
      <c r="G80" s="21"/>
    </row>
    <row r="81" spans="1:16">
      <c r="A81" s="21"/>
      <c r="B81" s="21"/>
      <c r="C81" s="21"/>
      <c r="D81" s="21"/>
      <c r="E81" s="21"/>
      <c r="F81" s="21"/>
      <c r="G81" s="21"/>
    </row>
    <row r="82" spans="1:16">
      <c r="A82" s="21"/>
      <c r="B82" s="21"/>
      <c r="C82" s="21"/>
      <c r="D82" s="21"/>
      <c r="E82" s="21"/>
      <c r="F82" s="21"/>
      <c r="G82" s="21"/>
    </row>
    <row r="83" spans="1:16">
      <c r="A83" s="21"/>
      <c r="B83" s="21"/>
      <c r="C83" s="21"/>
      <c r="D83" s="21"/>
      <c r="E83" s="21"/>
      <c r="F83" s="21"/>
      <c r="G83" s="21"/>
    </row>
    <row r="84" spans="1:16">
      <c r="A84" s="21"/>
      <c r="B84" s="21"/>
      <c r="C84" s="21"/>
      <c r="D84" s="21"/>
      <c r="E84" s="21"/>
      <c r="F84" s="21"/>
      <c r="G84" s="21"/>
    </row>
    <row r="85" spans="1:16">
      <c r="A85" s="21"/>
      <c r="B85" s="21"/>
      <c r="C85" s="21"/>
      <c r="D85" s="21"/>
      <c r="E85" s="21"/>
      <c r="F85" s="21"/>
      <c r="G85" s="21"/>
    </row>
    <row r="86" spans="1:16">
      <c r="A86" s="21"/>
      <c r="B86" s="21"/>
      <c r="C86" s="21"/>
      <c r="D86" s="21"/>
      <c r="E86" s="21"/>
      <c r="F86" s="21"/>
      <c r="G86" s="21"/>
    </row>
    <row r="87" spans="1:16" ht="12.75" thickBot="1">
      <c r="A87" s="21" t="s">
        <v>66</v>
      </c>
      <c r="B87" s="230">
        <f>E10+D18+D39+E69+E58+D28+D51+E62</f>
        <v>5902470054.2423706</v>
      </c>
      <c r="C87" s="21"/>
      <c r="D87" s="21"/>
      <c r="E87" s="21"/>
      <c r="F87" s="21"/>
      <c r="G87" s="21"/>
    </row>
    <row r="88" spans="1:16" ht="12.75" thickTop="1">
      <c r="A88" s="21"/>
      <c r="B88" s="28"/>
      <c r="C88" s="21"/>
      <c r="D88" s="21"/>
      <c r="E88" s="21"/>
      <c r="F88" s="21"/>
      <c r="G88" s="21"/>
    </row>
    <row r="89" spans="1:16">
      <c r="A89" s="21" t="s">
        <v>807</v>
      </c>
      <c r="B89" s="28">
        <f>'REVRUNS 12ME0623'!P344</f>
        <v>5916159239.9301805</v>
      </c>
      <c r="C89" s="21"/>
      <c r="D89" s="21"/>
      <c r="E89" s="21"/>
      <c r="F89" s="21"/>
      <c r="G89" s="21"/>
    </row>
    <row r="90" spans="1:16">
      <c r="A90" s="32" t="s">
        <v>67</v>
      </c>
      <c r="B90" s="21"/>
      <c r="C90" s="21"/>
      <c r="D90" s="21"/>
      <c r="E90" s="21"/>
      <c r="F90" s="21"/>
      <c r="G90" s="21"/>
    </row>
    <row r="91" spans="1:16">
      <c r="A91" s="32" t="s">
        <v>439</v>
      </c>
      <c r="B91" s="28">
        <f>'REVRUNS 12ME0623'!P340-'Bill Determ'!E58</f>
        <v>-1549196.4700000286</v>
      </c>
      <c r="C91" s="235"/>
      <c r="D91" s="21"/>
      <c r="E91" s="21"/>
      <c r="F91" s="21"/>
      <c r="G91" s="21"/>
    </row>
    <row r="92" spans="1:16">
      <c r="A92" s="32"/>
      <c r="B92" s="28"/>
      <c r="C92" s="235"/>
      <c r="D92" s="21"/>
      <c r="E92" s="21"/>
      <c r="F92" s="21"/>
      <c r="G92" s="21"/>
    </row>
    <row r="93" spans="1:16">
      <c r="A93" s="32" t="s">
        <v>440</v>
      </c>
      <c r="B93" s="28">
        <f>D36</f>
        <v>0</v>
      </c>
      <c r="C93" s="235"/>
      <c r="D93" s="21"/>
      <c r="E93" s="21"/>
      <c r="F93" s="21"/>
      <c r="G93" s="21"/>
      <c r="H93" s="21"/>
      <c r="I93" s="21"/>
      <c r="J93" s="21"/>
      <c r="K93" s="21"/>
      <c r="L93" s="21"/>
      <c r="M93" s="21"/>
      <c r="N93" s="21"/>
      <c r="O93" s="21"/>
      <c r="P93" s="21"/>
    </row>
    <row r="94" spans="1:16">
      <c r="A94" s="32" t="s">
        <v>334</v>
      </c>
      <c r="B94" s="28">
        <f>'REVRUNS 12ME0623'!P343</f>
        <v>16029420.157809999</v>
      </c>
      <c r="C94" s="235"/>
      <c r="D94" s="235"/>
      <c r="E94" s="21"/>
      <c r="F94" s="21"/>
      <c r="G94" s="21"/>
    </row>
    <row r="95" spans="1:16">
      <c r="A95" s="32" t="s">
        <v>809</v>
      </c>
      <c r="B95" s="28">
        <f>-'REVRUNS 12ME0623'!P403</f>
        <v>-791036</v>
      </c>
      <c r="C95" s="235" t="s">
        <v>900</v>
      </c>
      <c r="D95" s="235"/>
      <c r="E95" s="21"/>
      <c r="F95" s="21"/>
      <c r="G95" s="21"/>
    </row>
    <row r="96" spans="1:16" ht="12.75" thickBot="1">
      <c r="A96" s="21"/>
      <c r="B96" s="231">
        <f>B89-SUM(B91:B95)</f>
        <v>5902470052.2423706</v>
      </c>
      <c r="C96" s="235"/>
      <c r="D96" s="235"/>
      <c r="E96" s="21"/>
      <c r="F96" s="21"/>
      <c r="G96" s="21"/>
    </row>
    <row r="97" spans="1:7" ht="12.75" thickTop="1">
      <c r="A97" s="21" t="s">
        <v>68</v>
      </c>
      <c r="B97" s="713">
        <f>B87-B96</f>
        <v>2</v>
      </c>
      <c r="C97" s="21"/>
      <c r="D97" s="21"/>
      <c r="E97" s="21"/>
      <c r="F97" s="21"/>
      <c r="G97" s="21"/>
    </row>
    <row r="99" spans="1:7">
      <c r="A99" s="19" t="s">
        <v>401</v>
      </c>
      <c r="B99" s="232">
        <f>'Pres &amp; Prop Rev'!C20-'Pres &amp; Prop Rev'!C15</f>
        <v>5918499475.4001799</v>
      </c>
    </row>
    <row r="100" spans="1:7">
      <c r="A100" s="19" t="s">
        <v>336</v>
      </c>
      <c r="B100" s="233">
        <f>B87+B94+B93</f>
        <v>5918499474.4001808</v>
      </c>
    </row>
    <row r="101" spans="1:7">
      <c r="A101" s="21" t="s">
        <v>68</v>
      </c>
      <c r="B101" s="234">
        <f>B99-B100</f>
        <v>0.99999904632568359</v>
      </c>
    </row>
    <row r="104" spans="1:7">
      <c r="A104" s="19" t="s">
        <v>337</v>
      </c>
      <c r="B104" s="232">
        <f>'REVRUNS 12ME0623'!P48</f>
        <v>3212383</v>
      </c>
    </row>
    <row r="105" spans="1:7">
      <c r="A105" s="32" t="s">
        <v>67</v>
      </c>
      <c r="B105" s="232"/>
    </row>
    <row r="106" spans="1:7">
      <c r="A106" s="32" t="s">
        <v>369</v>
      </c>
      <c r="B106" s="232">
        <f>'REVRUNS 12ME0623'!P44-G58</f>
        <v>0</v>
      </c>
      <c r="C106" s="235"/>
    </row>
    <row r="107" spans="1:7">
      <c r="A107" s="32" t="s">
        <v>441</v>
      </c>
      <c r="B107" s="232">
        <f>-F36</f>
        <v>0</v>
      </c>
      <c r="C107" s="235"/>
    </row>
    <row r="108" spans="1:7">
      <c r="A108" s="32" t="s">
        <v>334</v>
      </c>
      <c r="B108" s="232">
        <f>'REVRUNS 12ME0623'!P47</f>
        <v>5984</v>
      </c>
      <c r="C108" s="235"/>
    </row>
    <row r="109" spans="1:7" ht="12.75" thickBot="1">
      <c r="B109" s="231">
        <f>B104-SUM(B105:B108)</f>
        <v>3206399</v>
      </c>
    </row>
    <row r="110" spans="1:7" ht="12.75" thickTop="1">
      <c r="B110" s="236"/>
    </row>
    <row r="111" spans="1:7" ht="12.75" thickBot="1">
      <c r="A111" s="19" t="s">
        <v>335</v>
      </c>
      <c r="B111" s="237">
        <f>SUM('Pres &amp; Prop Rev'!D25:L25)</f>
        <v>3206399</v>
      </c>
    </row>
    <row r="112" spans="1:7" ht="12.75" thickTop="1">
      <c r="A112" s="21" t="s">
        <v>68</v>
      </c>
      <c r="B112" s="28">
        <f>B109-B111</f>
        <v>0</v>
      </c>
    </row>
    <row r="113" spans="2:2">
      <c r="B113" s="232"/>
    </row>
    <row r="114" spans="2:2">
      <c r="B114" s="232"/>
    </row>
  </sheetData>
  <phoneticPr fontId="0" type="noConversion"/>
  <conditionalFormatting sqref="B101 B97 B112">
    <cfRule type="expression" dxfId="27" priority="1" stopIfTrue="1">
      <formula>ABS(B97)&gt;0.5</formula>
    </cfRule>
  </conditionalFormatting>
  <pageMargins left="0.5" right="0.5" top="1" bottom="1" header="0.25" footer="0.5"/>
  <pageSetup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A123-499A-43B8-9DFE-02D6CDD38810}">
  <dimension ref="A1:Y26"/>
  <sheetViews>
    <sheetView workbookViewId="0">
      <selection activeCell="H29" sqref="H29"/>
    </sheetView>
  </sheetViews>
  <sheetFormatPr defaultRowHeight="12.75"/>
  <cols>
    <col min="1" max="1" width="29.7109375" style="746" customWidth="1"/>
    <col min="2" max="3" width="0" style="746" hidden="1" customWidth="1"/>
    <col min="4" max="4" width="9.7109375" style="746" bestFit="1" customWidth="1"/>
    <col min="5" max="5" width="13.5703125" style="746" bestFit="1" customWidth="1"/>
    <col min="6" max="6" width="14.85546875" style="746" bestFit="1" customWidth="1"/>
    <col min="7" max="7" width="9.140625" style="746"/>
    <col min="8" max="8" width="15" style="746" bestFit="1" customWidth="1"/>
    <col min="9" max="9" width="12" style="746" bestFit="1" customWidth="1"/>
    <col min="10" max="10" width="14.85546875" style="746" bestFit="1" customWidth="1"/>
    <col min="11" max="11" width="9.140625" style="746"/>
    <col min="12" max="12" width="11.85546875" style="746" bestFit="1" customWidth="1"/>
    <col min="13" max="14" width="12.28515625" style="746" hidden="1" customWidth="1"/>
    <col min="15" max="19" width="9.140625" style="746"/>
    <col min="20" max="20" width="11.7109375" style="746" bestFit="1" customWidth="1"/>
    <col min="21" max="21" width="9.140625" style="746"/>
    <col min="22" max="22" width="11.28515625" style="746" bestFit="1" customWidth="1"/>
    <col min="23" max="16384" width="9.140625" style="746"/>
  </cols>
  <sheetData>
    <row r="1" spans="1:24">
      <c r="A1" s="380" t="s">
        <v>837</v>
      </c>
    </row>
    <row r="2" spans="1:24">
      <c r="A2" s="380" t="s">
        <v>848</v>
      </c>
    </row>
    <row r="5" spans="1:24">
      <c r="D5" s="879" t="s">
        <v>725</v>
      </c>
      <c r="E5" s="879"/>
      <c r="F5" s="879"/>
      <c r="H5" s="879" t="s">
        <v>837</v>
      </c>
      <c r="I5" s="879"/>
      <c r="J5" s="879"/>
    </row>
    <row r="6" spans="1:24">
      <c r="D6" s="448" t="s">
        <v>255</v>
      </c>
      <c r="E6" s="421"/>
      <c r="F6" s="448" t="s">
        <v>294</v>
      </c>
      <c r="H6" s="448" t="s">
        <v>257</v>
      </c>
      <c r="I6" s="421"/>
      <c r="J6" s="448" t="s">
        <v>257</v>
      </c>
    </row>
    <row r="7" spans="1:24">
      <c r="D7" s="448" t="s">
        <v>200</v>
      </c>
      <c r="E7" s="448" t="s">
        <v>296</v>
      </c>
      <c r="F7" s="448" t="s">
        <v>254</v>
      </c>
      <c r="H7" s="448" t="s">
        <v>837</v>
      </c>
      <c r="I7" s="448" t="s">
        <v>296</v>
      </c>
      <c r="J7" s="448" t="s">
        <v>837</v>
      </c>
      <c r="M7" s="448" t="s">
        <v>816</v>
      </c>
      <c r="N7" s="448" t="s">
        <v>849</v>
      </c>
      <c r="R7" s="380" t="s">
        <v>850</v>
      </c>
    </row>
    <row r="8" spans="1:24">
      <c r="D8" s="315" t="s">
        <v>297</v>
      </c>
      <c r="E8" s="448" t="s">
        <v>412</v>
      </c>
      <c r="F8" s="315" t="s">
        <v>83</v>
      </c>
      <c r="H8" s="315" t="s">
        <v>246</v>
      </c>
      <c r="I8" s="448" t="s">
        <v>412</v>
      </c>
      <c r="J8" s="315" t="s">
        <v>246</v>
      </c>
    </row>
    <row r="9" spans="1:24">
      <c r="A9" s="423" t="s">
        <v>851</v>
      </c>
      <c r="B9" s="380"/>
      <c r="C9" s="380"/>
      <c r="D9" s="380"/>
      <c r="H9" s="380"/>
    </row>
    <row r="10" spans="1:24">
      <c r="A10" s="380" t="s">
        <v>301</v>
      </c>
      <c r="B10" s="380"/>
      <c r="C10" s="380"/>
      <c r="D10" s="380"/>
      <c r="H10" s="380"/>
      <c r="T10" s="380" t="s">
        <v>835</v>
      </c>
      <c r="V10" s="380" t="s">
        <v>826</v>
      </c>
      <c r="X10" s="380" t="s">
        <v>836</v>
      </c>
    </row>
    <row r="11" spans="1:24">
      <c r="A11" s="289" t="s">
        <v>852</v>
      </c>
      <c r="B11" s="380"/>
      <c r="C11" s="380"/>
      <c r="D11" s="201">
        <f>'JDM-9 Pg 3'!D96</f>
        <v>4.8579999999999998E-2</v>
      </c>
      <c r="E11" s="47">
        <f>'Bill Determ'!B62</f>
        <v>6000000</v>
      </c>
      <c r="F11" s="357">
        <f>D11*E11</f>
        <v>291480</v>
      </c>
      <c r="H11" s="201">
        <f>'JDM-9 Pg 3'!N96</f>
        <v>4.9930000000000002E-2</v>
      </c>
      <c r="I11" s="47">
        <f>E11</f>
        <v>6000000</v>
      </c>
      <c r="J11" s="357">
        <f>H11*I11</f>
        <v>299580</v>
      </c>
      <c r="M11" s="357">
        <f>0.00093*I11</f>
        <v>5580</v>
      </c>
      <c r="N11" s="357">
        <f>0.00182*I11</f>
        <v>10920</v>
      </c>
      <c r="R11" s="380" t="s">
        <v>725</v>
      </c>
      <c r="T11" s="220">
        <f>'Rate Spread GRC'!F74</f>
        <v>45108846.983799994</v>
      </c>
      <c r="V11" s="603">
        <f>'Rate Spread GRC'!H74</f>
        <v>620117.68591500004</v>
      </c>
      <c r="X11" s="746">
        <f>T11/V11</f>
        <v>72.742397142311304</v>
      </c>
    </row>
    <row r="12" spans="1:24">
      <c r="A12" s="289" t="s">
        <v>853</v>
      </c>
      <c r="B12" s="380"/>
      <c r="C12" s="380"/>
      <c r="D12" s="201">
        <f>'JDM-9 Pg 3'!D97</f>
        <v>4.3659999999999997E-2</v>
      </c>
      <c r="E12" s="47">
        <f>'Bill Determ'!C62</f>
        <v>66000000</v>
      </c>
      <c r="F12" s="357">
        <f t="shared" ref="F12:F20" si="0">D12*E12</f>
        <v>2881560</v>
      </c>
      <c r="H12" s="201">
        <f>'JDM-9 Pg 3'!N97</f>
        <v>4.487E-2</v>
      </c>
      <c r="I12" s="47">
        <f t="shared" ref="I12:I13" si="1">E12</f>
        <v>66000000</v>
      </c>
      <c r="J12" s="357">
        <f t="shared" ref="J12" si="2">H12*I12</f>
        <v>2961420</v>
      </c>
      <c r="M12" s="357">
        <f>0.00093*I12</f>
        <v>61380</v>
      </c>
      <c r="N12" s="357">
        <f t="shared" ref="N12:N13" si="3">0.00182*I12</f>
        <v>120120</v>
      </c>
      <c r="V12" s="603"/>
    </row>
    <row r="13" spans="1:24">
      <c r="A13" s="289" t="s">
        <v>854</v>
      </c>
      <c r="B13" s="380"/>
      <c r="C13" s="380"/>
      <c r="D13" s="201">
        <f>'JDM-9 Pg 3'!D98</f>
        <v>3.7240000000000002E-2</v>
      </c>
      <c r="E13" s="47">
        <f>'Bill Determ'!D62</f>
        <v>357788232</v>
      </c>
      <c r="F13" s="357">
        <f t="shared" si="0"/>
        <v>13324033.759680001</v>
      </c>
      <c r="H13" s="201">
        <f>'JDM-9 Pg 3'!N98</f>
        <v>3.8280000000000002E-2</v>
      </c>
      <c r="I13" s="47">
        <f t="shared" si="1"/>
        <v>357788232</v>
      </c>
      <c r="J13" s="357">
        <f>H13*I13</f>
        <v>13696133.520960001</v>
      </c>
      <c r="N13" s="357">
        <f t="shared" si="3"/>
        <v>651174.58224000002</v>
      </c>
      <c r="R13" s="380" t="s">
        <v>837</v>
      </c>
      <c r="T13" s="220">
        <f>'Rate Spread GRC'!F76</f>
        <v>21357310.436499998</v>
      </c>
      <c r="V13" s="603">
        <f>'Rate Spread GRC'!H76</f>
        <v>451099.44799999997</v>
      </c>
      <c r="X13" s="746">
        <f t="shared" ref="X13" si="4">T13/V13</f>
        <v>47.345015674902797</v>
      </c>
    </row>
    <row r="14" spans="1:24">
      <c r="A14" s="289"/>
      <c r="B14" s="380"/>
      <c r="C14" s="380"/>
      <c r="D14" s="201"/>
      <c r="E14" s="47">
        <v>0</v>
      </c>
      <c r="F14" s="357"/>
      <c r="H14" s="201"/>
      <c r="I14" s="47"/>
      <c r="J14" s="357"/>
      <c r="M14" s="56">
        <f>SUM(M11:M13)</f>
        <v>66960</v>
      </c>
      <c r="N14" s="56">
        <f>SUM(N11:N13)</f>
        <v>782214.58224000002</v>
      </c>
    </row>
    <row r="15" spans="1:24">
      <c r="A15" s="380" t="s">
        <v>303</v>
      </c>
      <c r="B15" s="380"/>
      <c r="C15" s="380"/>
      <c r="D15" s="380"/>
      <c r="H15" s="380"/>
      <c r="M15" s="56"/>
      <c r="N15" s="56"/>
    </row>
    <row r="16" spans="1:24">
      <c r="A16" s="289" t="s">
        <v>855</v>
      </c>
      <c r="B16" s="380"/>
      <c r="C16" s="380"/>
      <c r="D16" s="207">
        <v>30650</v>
      </c>
      <c r="E16" s="493">
        <v>12</v>
      </c>
      <c r="F16" s="357">
        <f>D16*E16</f>
        <v>367800</v>
      </c>
      <c r="H16" s="207">
        <v>30650</v>
      </c>
      <c r="I16" s="493">
        <f>E16</f>
        <v>12</v>
      </c>
      <c r="J16" s="357">
        <f t="shared" ref="J16" si="5">H16*I16</f>
        <v>367800</v>
      </c>
      <c r="X16" s="373">
        <f>X13/X11</f>
        <v>0.65085861251284116</v>
      </c>
    </row>
    <row r="17" spans="1:25">
      <c r="A17" s="289" t="s">
        <v>856</v>
      </c>
      <c r="B17" s="380"/>
      <c r="C17" s="380"/>
      <c r="D17" s="209">
        <v>8.3000000000000007</v>
      </c>
      <c r="E17" s="493">
        <f>'Pres &amp; Prop Rev'!J50</f>
        <v>709647.84</v>
      </c>
      <c r="F17" s="357">
        <f>D17*E17</f>
        <v>5890077.0720000006</v>
      </c>
      <c r="H17" s="209">
        <v>9</v>
      </c>
      <c r="I17" s="493">
        <f>E17</f>
        <v>709647.84</v>
      </c>
      <c r="J17" s="357">
        <f>H17*I17</f>
        <v>6386830.5599999996</v>
      </c>
    </row>
    <row r="18" spans="1:25">
      <c r="A18" s="289"/>
      <c r="B18" s="380"/>
      <c r="C18" s="380"/>
      <c r="D18" s="209"/>
      <c r="E18" s="493">
        <v>0</v>
      </c>
      <c r="F18" s="357"/>
      <c r="H18" s="209"/>
      <c r="I18" s="493"/>
      <c r="J18" s="357"/>
    </row>
    <row r="19" spans="1:25">
      <c r="A19" s="380" t="s">
        <v>322</v>
      </c>
      <c r="B19" s="380"/>
      <c r="C19" s="380"/>
      <c r="D19" s="380"/>
      <c r="H19" s="380"/>
    </row>
    <row r="20" spans="1:25">
      <c r="A20" s="289" t="s">
        <v>323</v>
      </c>
      <c r="B20" s="380"/>
      <c r="C20" s="380"/>
      <c r="D20" s="209">
        <v>0.2</v>
      </c>
      <c r="E20" s="493">
        <v>0</v>
      </c>
      <c r="F20" s="357">
        <f t="shared" si="0"/>
        <v>0</v>
      </c>
      <c r="H20" s="209">
        <v>0.2</v>
      </c>
      <c r="I20" s="493">
        <f>E20</f>
        <v>0</v>
      </c>
      <c r="J20" s="357">
        <f t="shared" ref="J20" si="6">H20*I20</f>
        <v>0</v>
      </c>
    </row>
    <row r="21" spans="1:25">
      <c r="A21" s="289" t="s">
        <v>324</v>
      </c>
      <c r="B21" s="380"/>
      <c r="C21" s="380"/>
      <c r="D21" s="209">
        <v>1.52</v>
      </c>
      <c r="E21" s="211">
        <f>'WA Sch 25'!P121</f>
        <v>99837.113421052622</v>
      </c>
      <c r="F21" s="357">
        <f>-D21*E21</f>
        <v>-151752.4124</v>
      </c>
      <c r="H21" s="209">
        <v>1.52</v>
      </c>
      <c r="I21" s="493">
        <f t="shared" ref="I21:I22" si="7">E21</f>
        <v>99837.113421052622</v>
      </c>
      <c r="J21" s="357">
        <f>-H21*I21</f>
        <v>-151752.4124</v>
      </c>
    </row>
    <row r="22" spans="1:25">
      <c r="A22" s="289" t="s">
        <v>325</v>
      </c>
      <c r="B22" s="380"/>
      <c r="C22" s="380"/>
      <c r="D22" s="209">
        <v>1.93</v>
      </c>
      <c r="E22" s="211">
        <f>'WA Sch 25'!P123</f>
        <v>646064.96849740949</v>
      </c>
      <c r="F22" s="357">
        <f>-D22*E22</f>
        <v>-1246905.3892000003</v>
      </c>
      <c r="H22" s="209">
        <v>1.93</v>
      </c>
      <c r="I22" s="493">
        <f t="shared" si="7"/>
        <v>646064.96849740949</v>
      </c>
      <c r="J22" s="357">
        <f>-H22*I22</f>
        <v>-1246905.3892000003</v>
      </c>
    </row>
    <row r="23" spans="1:25">
      <c r="A23" s="380"/>
      <c r="B23" s="380"/>
      <c r="C23" s="380"/>
      <c r="D23" s="206"/>
      <c r="H23" s="206"/>
    </row>
    <row r="24" spans="1:25">
      <c r="D24" s="108" t="s">
        <v>857</v>
      </c>
      <c r="E24" s="765"/>
      <c r="F24" s="604">
        <f>SUM(F11:F22)</f>
        <v>21356293.030080002</v>
      </c>
      <c r="G24" s="108"/>
      <c r="H24" s="108" t="s">
        <v>858</v>
      </c>
      <c r="I24" s="108"/>
      <c r="J24" s="604">
        <f>SUM(J11:J22)</f>
        <v>22313106.27936</v>
      </c>
      <c r="L24" s="56">
        <f>J24-F24</f>
        <v>956813.24927999824</v>
      </c>
    </row>
    <row r="26" spans="1:25" ht="59.25" customHeight="1">
      <c r="A26" s="878"/>
      <c r="B26" s="878"/>
      <c r="C26" s="878"/>
      <c r="D26" s="878"/>
      <c r="E26" s="878"/>
      <c r="F26" s="878"/>
      <c r="G26" s="878"/>
      <c r="R26" s="766"/>
      <c r="S26" s="766"/>
      <c r="T26" s="766"/>
      <c r="U26" s="766"/>
      <c r="V26" s="766"/>
      <c r="W26" s="766"/>
      <c r="X26" s="766"/>
      <c r="Y26" s="766"/>
    </row>
  </sheetData>
  <mergeCells count="3">
    <mergeCell ref="D5:F5"/>
    <mergeCell ref="H5:J5"/>
    <mergeCell ref="A26:G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C1D58-DBD8-4BDE-8B78-1123F7D04F39}">
  <dimension ref="A3:U38"/>
  <sheetViews>
    <sheetView workbookViewId="0">
      <selection activeCell="R27" sqref="R27"/>
    </sheetView>
  </sheetViews>
  <sheetFormatPr defaultRowHeight="12.75"/>
  <cols>
    <col min="1" max="1" width="5.85546875" style="746" customWidth="1"/>
    <col min="2" max="2" width="11.7109375" style="746" customWidth="1"/>
    <col min="3" max="4" width="9.7109375" style="746" bestFit="1" customWidth="1"/>
    <col min="5" max="5" width="9.28515625" style="746" bestFit="1" customWidth="1"/>
    <col min="6" max="6" width="9.140625" style="746"/>
    <col min="7" max="7" width="11.7109375" style="746" customWidth="1"/>
    <col min="8" max="9" width="10.140625" style="746" bestFit="1" customWidth="1"/>
    <col min="10" max="10" width="9.7109375" style="746" bestFit="1" customWidth="1"/>
    <col min="11" max="11" width="9.140625" style="746"/>
    <col min="12" max="13" width="9.28515625" style="746" bestFit="1" customWidth="1"/>
    <col min="14" max="19" width="9.140625" style="746"/>
    <col min="20" max="20" width="10.28515625" style="746" bestFit="1" customWidth="1"/>
    <col min="21" max="16384" width="9.140625" style="746"/>
  </cols>
  <sheetData>
    <row r="3" spans="1:21" ht="15.75">
      <c r="A3" s="748" t="s">
        <v>844</v>
      </c>
      <c r="B3" s="749"/>
      <c r="C3" s="749"/>
      <c r="D3" s="749"/>
      <c r="E3" s="749"/>
      <c r="F3" s="749"/>
      <c r="G3" s="749"/>
      <c r="H3" s="749"/>
      <c r="I3" s="749"/>
      <c r="J3" s="749"/>
      <c r="K3" s="749"/>
      <c r="L3" s="749"/>
      <c r="M3" s="749"/>
    </row>
    <row r="7" spans="1:21">
      <c r="A7" s="750" t="s">
        <v>845</v>
      </c>
      <c r="B7" s="750"/>
      <c r="C7" s="749"/>
      <c r="D7" s="749"/>
      <c r="E7" s="749"/>
      <c r="F7" s="749"/>
      <c r="G7" s="750" t="s">
        <v>846</v>
      </c>
      <c r="H7" s="750"/>
      <c r="I7" s="749"/>
      <c r="J7" s="749"/>
      <c r="K7" s="749"/>
      <c r="L7" s="749"/>
      <c r="M7" s="749"/>
    </row>
    <row r="8" spans="1:21">
      <c r="A8" s="749"/>
      <c r="B8" s="749" t="s">
        <v>237</v>
      </c>
      <c r="C8" s="749" t="s">
        <v>456</v>
      </c>
      <c r="D8" s="749" t="s">
        <v>457</v>
      </c>
      <c r="E8" s="749" t="s">
        <v>847</v>
      </c>
      <c r="F8" s="749"/>
      <c r="G8" s="749" t="s">
        <v>237</v>
      </c>
      <c r="H8" s="749" t="s">
        <v>456</v>
      </c>
      <c r="I8" s="749" t="s">
        <v>457</v>
      </c>
      <c r="J8" s="749" t="s">
        <v>847</v>
      </c>
      <c r="K8" s="749"/>
      <c r="L8" s="749" t="s">
        <v>843</v>
      </c>
      <c r="M8" s="749" t="s">
        <v>382</v>
      </c>
    </row>
    <row r="9" spans="1:21">
      <c r="A9" s="749"/>
      <c r="B9" s="751">
        <f>'JDM-9 Pg 3'!F13</f>
        <v>10</v>
      </c>
      <c r="C9" s="752">
        <f>'JDM-9 Pg 3'!F15</f>
        <v>0.10936999999999999</v>
      </c>
      <c r="D9" s="752">
        <f>'JDM-9 Pg 3'!F16</f>
        <v>0.12687999999999999</v>
      </c>
      <c r="E9" s="402"/>
      <c r="F9" s="753"/>
      <c r="G9" s="751">
        <f>'JDM-9 Pg 3'!M13</f>
        <v>10</v>
      </c>
      <c r="H9" s="752">
        <f>'JDM-9 Pg 3'!M15</f>
        <v>0.11977999999999998</v>
      </c>
      <c r="I9" s="752">
        <f>'JDM-9 Pg 3'!M16</f>
        <v>0.14026</v>
      </c>
      <c r="J9" s="749"/>
      <c r="K9" s="749"/>
      <c r="L9" s="749"/>
      <c r="M9" s="749"/>
      <c r="R9" s="380"/>
    </row>
    <row r="10" spans="1:21">
      <c r="A10" s="749">
        <v>100</v>
      </c>
      <c r="B10" s="754">
        <f>$B$9</f>
        <v>10</v>
      </c>
      <c r="C10" s="753">
        <f t="shared" ref="C10:C17" si="0">A10*$C$9</f>
        <v>10.936999999999999</v>
      </c>
      <c r="D10" s="753"/>
      <c r="E10" s="754">
        <f>SUM(B10:D10)</f>
        <v>20.936999999999998</v>
      </c>
      <c r="F10" s="753"/>
      <c r="G10" s="754">
        <f>$G$9</f>
        <v>10</v>
      </c>
      <c r="H10" s="753">
        <f t="shared" ref="H10:H16" si="1">A10*$H$9</f>
        <v>11.977999999999998</v>
      </c>
      <c r="I10" s="753"/>
      <c r="J10" s="755">
        <f>SUM(G10:I10)</f>
        <v>21.977999999999998</v>
      </c>
      <c r="K10" s="749"/>
      <c r="L10" s="756">
        <f>J10-E10</f>
        <v>1.0410000000000004</v>
      </c>
      <c r="M10" s="403">
        <f>L10/E10</f>
        <v>4.9720590342455961E-2</v>
      </c>
    </row>
    <row r="11" spans="1:21">
      <c r="A11" s="749">
        <v>200</v>
      </c>
      <c r="B11" s="754">
        <f>$B$9</f>
        <v>10</v>
      </c>
      <c r="C11" s="753">
        <f t="shared" si="0"/>
        <v>21.873999999999999</v>
      </c>
      <c r="D11" s="753"/>
      <c r="E11" s="754">
        <f>SUM(B11:D11)</f>
        <v>31.873999999999999</v>
      </c>
      <c r="F11" s="753"/>
      <c r="G11" s="754">
        <f>$G$9</f>
        <v>10</v>
      </c>
      <c r="H11" s="753">
        <f t="shared" si="1"/>
        <v>23.955999999999996</v>
      </c>
      <c r="I11" s="753"/>
      <c r="J11" s="755">
        <f>SUM(G11:I11)</f>
        <v>33.955999999999996</v>
      </c>
      <c r="K11" s="749"/>
      <c r="L11" s="756">
        <f t="shared" ref="L11:L24" si="2">J11-E11</f>
        <v>2.0819999999999972</v>
      </c>
      <c r="M11" s="403">
        <f>L11/E11</f>
        <v>6.5319696304197691E-2</v>
      </c>
      <c r="S11" s="380"/>
      <c r="T11" s="380"/>
      <c r="U11" s="380"/>
    </row>
    <row r="12" spans="1:21">
      <c r="A12" s="749">
        <v>300</v>
      </c>
      <c r="B12" s="754">
        <f>$B$9</f>
        <v>10</v>
      </c>
      <c r="C12" s="753">
        <f t="shared" si="0"/>
        <v>32.811</v>
      </c>
      <c r="D12" s="753"/>
      <c r="E12" s="754">
        <f>SUM(B12:D12)</f>
        <v>42.811</v>
      </c>
      <c r="F12" s="753"/>
      <c r="G12" s="754">
        <f>$G$9</f>
        <v>10</v>
      </c>
      <c r="H12" s="753">
        <f t="shared" si="1"/>
        <v>35.933999999999997</v>
      </c>
      <c r="I12" s="753"/>
      <c r="J12" s="755">
        <f>SUM(G12:I12)</f>
        <v>45.933999999999997</v>
      </c>
      <c r="K12" s="749"/>
      <c r="L12" s="756">
        <f t="shared" si="2"/>
        <v>3.1229999999999976</v>
      </c>
      <c r="M12" s="403">
        <f>L12/E12</f>
        <v>7.2948541262759514E-2</v>
      </c>
      <c r="S12" s="757"/>
      <c r="T12" s="452"/>
      <c r="U12" s="452"/>
    </row>
    <row r="13" spans="1:21">
      <c r="A13" s="749">
        <v>400</v>
      </c>
      <c r="B13" s="754">
        <f>$B$9</f>
        <v>10</v>
      </c>
      <c r="C13" s="753">
        <f t="shared" si="0"/>
        <v>43.747999999999998</v>
      </c>
      <c r="D13" s="753"/>
      <c r="E13" s="754">
        <f>SUM(B13:D13)</f>
        <v>53.747999999999998</v>
      </c>
      <c r="F13" s="753"/>
      <c r="G13" s="754">
        <f>$G$9</f>
        <v>10</v>
      </c>
      <c r="H13" s="753">
        <f t="shared" si="1"/>
        <v>47.911999999999992</v>
      </c>
      <c r="I13" s="753"/>
      <c r="J13" s="755">
        <f>SUM(G13:I13)</f>
        <v>57.911999999999992</v>
      </c>
      <c r="K13" s="749"/>
      <c r="L13" s="756">
        <f t="shared" si="2"/>
        <v>4.1639999999999944</v>
      </c>
      <c r="M13" s="403">
        <f>L13/E13</f>
        <v>7.7472650145121572E-2</v>
      </c>
      <c r="S13" s="283"/>
      <c r="T13" s="452"/>
      <c r="U13" s="452"/>
    </row>
    <row r="14" spans="1:21">
      <c r="A14" s="749">
        <v>500</v>
      </c>
      <c r="B14" s="754">
        <f>$B$9</f>
        <v>10</v>
      </c>
      <c r="C14" s="753">
        <f t="shared" si="0"/>
        <v>54.684999999999995</v>
      </c>
      <c r="D14" s="753"/>
      <c r="E14" s="754">
        <f>SUM(B14:D14)</f>
        <v>64.685000000000002</v>
      </c>
      <c r="F14" s="753"/>
      <c r="G14" s="754">
        <f>$G$9</f>
        <v>10</v>
      </c>
      <c r="H14" s="753">
        <f t="shared" si="1"/>
        <v>59.889999999999993</v>
      </c>
      <c r="I14" s="753"/>
      <c r="J14" s="755">
        <f>SUM(G14:I14)</f>
        <v>69.889999999999986</v>
      </c>
      <c r="K14" s="749"/>
      <c r="L14" s="756">
        <f t="shared" si="2"/>
        <v>5.2049999999999841</v>
      </c>
      <c r="M14" s="403">
        <f>L14/E14</f>
        <v>8.0466877946973547E-2</v>
      </c>
      <c r="S14" s="283"/>
      <c r="T14" s="452"/>
      <c r="U14" s="452"/>
    </row>
    <row r="15" spans="1:21">
      <c r="A15" s="749">
        <v>600</v>
      </c>
      <c r="B15" s="754">
        <f t="shared" ref="B15:B24" si="3">$B$9</f>
        <v>10</v>
      </c>
      <c r="C15" s="753">
        <f t="shared" si="0"/>
        <v>65.622</v>
      </c>
      <c r="D15" s="753"/>
      <c r="E15" s="754">
        <f t="shared" ref="E15:E24" si="4">SUM(B15:D15)</f>
        <v>75.622</v>
      </c>
      <c r="F15" s="753"/>
      <c r="G15" s="754">
        <f t="shared" ref="G15:G24" si="5">$G$9</f>
        <v>10</v>
      </c>
      <c r="H15" s="753">
        <f t="shared" si="1"/>
        <v>71.867999999999995</v>
      </c>
      <c r="I15" s="753"/>
      <c r="J15" s="755">
        <f t="shared" ref="J15:J24" si="6">SUM(G15:I15)</f>
        <v>81.867999999999995</v>
      </c>
      <c r="K15" s="749"/>
      <c r="L15" s="756">
        <f t="shared" si="2"/>
        <v>6.2459999999999951</v>
      </c>
      <c r="M15" s="403">
        <f t="shared" ref="M15:M24" si="7">L15/E15</f>
        <v>8.2595012033535156E-2</v>
      </c>
    </row>
    <row r="16" spans="1:21">
      <c r="A16" s="749">
        <v>700</v>
      </c>
      <c r="B16" s="754">
        <f t="shared" si="3"/>
        <v>10</v>
      </c>
      <c r="C16" s="753">
        <f t="shared" si="0"/>
        <v>76.558999999999997</v>
      </c>
      <c r="D16" s="753"/>
      <c r="E16" s="754">
        <f>SUM(B16:D16)</f>
        <v>86.558999999999997</v>
      </c>
      <c r="F16" s="753"/>
      <c r="G16" s="754">
        <f t="shared" si="5"/>
        <v>10</v>
      </c>
      <c r="H16" s="753">
        <f t="shared" si="1"/>
        <v>83.845999999999989</v>
      </c>
      <c r="I16" s="753"/>
      <c r="J16" s="755">
        <f>SUM(G16:I16)</f>
        <v>93.845999999999989</v>
      </c>
      <c r="K16" s="749"/>
      <c r="L16" s="756">
        <f t="shared" si="2"/>
        <v>7.2869999999999919</v>
      </c>
      <c r="M16" s="403">
        <f>L16/E16</f>
        <v>8.4185353342806551E-2</v>
      </c>
    </row>
    <row r="17" spans="1:18" ht="13.5" thickBot="1">
      <c r="A17" s="749">
        <v>800</v>
      </c>
      <c r="B17" s="754">
        <f t="shared" si="3"/>
        <v>10</v>
      </c>
      <c r="C17" s="753">
        <f t="shared" si="0"/>
        <v>87.495999999999995</v>
      </c>
      <c r="D17" s="753"/>
      <c r="E17" s="754">
        <f t="shared" si="4"/>
        <v>97.495999999999995</v>
      </c>
      <c r="F17" s="753"/>
      <c r="G17" s="754">
        <f t="shared" si="5"/>
        <v>10</v>
      </c>
      <c r="H17" s="753">
        <f>A17*$H$9</f>
        <v>95.823999999999984</v>
      </c>
      <c r="I17" s="753"/>
      <c r="J17" s="755">
        <f t="shared" si="6"/>
        <v>105.82399999999998</v>
      </c>
      <c r="K17" s="749"/>
      <c r="L17" s="756">
        <f t="shared" si="2"/>
        <v>8.3279999999999887</v>
      </c>
      <c r="M17" s="403">
        <f t="shared" si="7"/>
        <v>8.5418888980060614E-2</v>
      </c>
    </row>
    <row r="18" spans="1:18" ht="13.5" thickBot="1">
      <c r="A18" s="764">
        <f>ROUND('Pres &amp; Prop Rev'!D46/'Pres &amp; Prop Rev'!D48,0)</f>
        <v>945</v>
      </c>
      <c r="B18" s="758">
        <f t="shared" si="3"/>
        <v>10</v>
      </c>
      <c r="C18" s="759">
        <f>ROUND($C$17,2)</f>
        <v>87.5</v>
      </c>
      <c r="D18" s="759">
        <f>ROUND((A18-$A$17)*$D$9,2)</f>
        <v>18.399999999999999</v>
      </c>
      <c r="E18" s="758">
        <f t="shared" si="4"/>
        <v>115.9</v>
      </c>
      <c r="F18" s="759"/>
      <c r="G18" s="758">
        <f t="shared" si="5"/>
        <v>10</v>
      </c>
      <c r="H18" s="759">
        <f>ROUND($H$17,2)</f>
        <v>95.82</v>
      </c>
      <c r="I18" s="759">
        <f>ROUND((A18-$A$17)*$I$9,2)</f>
        <v>20.34</v>
      </c>
      <c r="J18" s="760">
        <f>SUM(G18:I18)</f>
        <v>126.16</v>
      </c>
      <c r="K18" s="761"/>
      <c r="L18" s="762">
        <f t="shared" si="2"/>
        <v>10.259999999999991</v>
      </c>
      <c r="M18" s="763">
        <f>L18/E18</f>
        <v>8.8524590163934339E-2</v>
      </c>
      <c r="O18" s="380" t="s">
        <v>925</v>
      </c>
      <c r="P18" s="452"/>
      <c r="Q18" s="757"/>
      <c r="R18" s="400"/>
    </row>
    <row r="19" spans="1:18">
      <c r="A19" s="749">
        <v>1000</v>
      </c>
      <c r="B19" s="754">
        <f t="shared" si="3"/>
        <v>10</v>
      </c>
      <c r="C19" s="753">
        <f>ROUND($C$17,2)</f>
        <v>87.5</v>
      </c>
      <c r="D19" s="753">
        <f>ROUND((A19-$A$17)*$D$9,2)</f>
        <v>25.38</v>
      </c>
      <c r="E19" s="754">
        <f t="shared" si="4"/>
        <v>122.88</v>
      </c>
      <c r="F19" s="753"/>
      <c r="G19" s="754">
        <f t="shared" si="5"/>
        <v>10</v>
      </c>
      <c r="H19" s="753">
        <f>ROUND($H$17,2)</f>
        <v>95.82</v>
      </c>
      <c r="I19" s="753">
        <f>ROUND((A19-$A$17)*$I$9,2)</f>
        <v>28.05</v>
      </c>
      <c r="J19" s="755">
        <f t="shared" si="6"/>
        <v>133.87</v>
      </c>
      <c r="K19" s="749"/>
      <c r="L19" s="756">
        <f t="shared" si="2"/>
        <v>10.990000000000009</v>
      </c>
      <c r="M19" s="403">
        <f t="shared" si="7"/>
        <v>8.9436848958333412E-2</v>
      </c>
    </row>
    <row r="20" spans="1:18">
      <c r="A20" s="749">
        <v>1100</v>
      </c>
      <c r="B20" s="754">
        <f t="shared" si="3"/>
        <v>10</v>
      </c>
      <c r="C20" s="753">
        <f>$C$17</f>
        <v>87.495999999999995</v>
      </c>
      <c r="D20" s="753">
        <f>(A20-$A$17)*$D$9</f>
        <v>38.064</v>
      </c>
      <c r="E20" s="754">
        <f>SUM(B20:D20)</f>
        <v>135.56</v>
      </c>
      <c r="F20" s="753"/>
      <c r="G20" s="754">
        <f t="shared" si="5"/>
        <v>10</v>
      </c>
      <c r="H20" s="753">
        <f>$H$17</f>
        <v>95.823999999999984</v>
      </c>
      <c r="I20" s="753">
        <f>(A20-$A$17)*$I$9</f>
        <v>42.077999999999996</v>
      </c>
      <c r="J20" s="755">
        <f>SUM(G20:I20)</f>
        <v>147.90199999999999</v>
      </c>
      <c r="K20" s="749"/>
      <c r="L20" s="756">
        <f t="shared" si="2"/>
        <v>12.341999999999985</v>
      </c>
      <c r="M20" s="403">
        <f>L20/E20</f>
        <v>9.1044555916199352E-2</v>
      </c>
    </row>
    <row r="21" spans="1:18">
      <c r="A21" s="749">
        <v>1200</v>
      </c>
      <c r="B21" s="754">
        <f t="shared" si="3"/>
        <v>10</v>
      </c>
      <c r="C21" s="753">
        <f>$C$17</f>
        <v>87.495999999999995</v>
      </c>
      <c r="D21" s="753">
        <f>(A21-$A$17)*$D$9</f>
        <v>50.751999999999995</v>
      </c>
      <c r="E21" s="754">
        <f t="shared" si="4"/>
        <v>148.24799999999999</v>
      </c>
      <c r="F21" s="753"/>
      <c r="G21" s="754">
        <f t="shared" si="5"/>
        <v>10</v>
      </c>
      <c r="H21" s="753">
        <f>$H$17</f>
        <v>95.823999999999984</v>
      </c>
      <c r="I21" s="753">
        <f>(A21-$A$17)*$I$9</f>
        <v>56.103999999999999</v>
      </c>
      <c r="J21" s="755">
        <f t="shared" si="6"/>
        <v>161.928</v>
      </c>
      <c r="K21" s="749"/>
      <c r="L21" s="756">
        <f t="shared" si="2"/>
        <v>13.680000000000007</v>
      </c>
      <c r="M21" s="403">
        <f t="shared" si="7"/>
        <v>9.2277804759592089E-2</v>
      </c>
    </row>
    <row r="22" spans="1:18">
      <c r="A22" s="749">
        <v>1300</v>
      </c>
      <c r="B22" s="754">
        <f t="shared" si="3"/>
        <v>10</v>
      </c>
      <c r="C22" s="753">
        <f>$C$17</f>
        <v>87.495999999999995</v>
      </c>
      <c r="D22" s="753">
        <f>(A22-$A$17)*$D$9</f>
        <v>63.44</v>
      </c>
      <c r="E22" s="754">
        <f>SUM(B22:D22)</f>
        <v>160.93599999999998</v>
      </c>
      <c r="F22" s="753"/>
      <c r="G22" s="754">
        <f t="shared" si="5"/>
        <v>10</v>
      </c>
      <c r="H22" s="753">
        <f>$H$17</f>
        <v>95.823999999999984</v>
      </c>
      <c r="I22" s="753">
        <f>(A22-$A$17)*$I$9</f>
        <v>70.13</v>
      </c>
      <c r="J22" s="755">
        <f>SUM(G22:I22)</f>
        <v>175.95399999999998</v>
      </c>
      <c r="K22" s="749"/>
      <c r="L22" s="756">
        <f t="shared" si="2"/>
        <v>15.018000000000001</v>
      </c>
      <c r="M22" s="403">
        <f>L22/E22</f>
        <v>9.3316597902271731E-2</v>
      </c>
    </row>
    <row r="23" spans="1:18">
      <c r="A23" s="749">
        <v>1400</v>
      </c>
      <c r="B23" s="754">
        <f t="shared" si="3"/>
        <v>10</v>
      </c>
      <c r="C23" s="753">
        <f>$C$17</f>
        <v>87.495999999999995</v>
      </c>
      <c r="D23" s="753">
        <f>(A23-$A$17)*$D$9</f>
        <v>76.128</v>
      </c>
      <c r="E23" s="754">
        <f>SUM(B23:D23)</f>
        <v>173.624</v>
      </c>
      <c r="F23" s="753"/>
      <c r="G23" s="754">
        <f t="shared" si="5"/>
        <v>10</v>
      </c>
      <c r="H23" s="753">
        <f>$H$17</f>
        <v>95.823999999999984</v>
      </c>
      <c r="I23" s="753">
        <f>(A23-$A$17)*$I$9</f>
        <v>84.155999999999992</v>
      </c>
      <c r="J23" s="755">
        <f>SUM(G23:I23)</f>
        <v>189.97999999999996</v>
      </c>
      <c r="K23" s="749"/>
      <c r="L23" s="756">
        <f t="shared" si="2"/>
        <v>16.355999999999966</v>
      </c>
      <c r="M23" s="403">
        <f>L23/E23</f>
        <v>9.4203566327235672E-2</v>
      </c>
    </row>
    <row r="24" spans="1:18">
      <c r="A24" s="749">
        <v>1500</v>
      </c>
      <c r="B24" s="754">
        <f t="shared" si="3"/>
        <v>10</v>
      </c>
      <c r="C24" s="753">
        <f>$C$17</f>
        <v>87.495999999999995</v>
      </c>
      <c r="D24" s="753">
        <f>(A24-$A$17)*$D$9</f>
        <v>88.815999999999988</v>
      </c>
      <c r="E24" s="754">
        <f t="shared" si="4"/>
        <v>186.31199999999998</v>
      </c>
      <c r="F24" s="753"/>
      <c r="G24" s="754">
        <f t="shared" si="5"/>
        <v>10</v>
      </c>
      <c r="H24" s="753">
        <f>$H$17</f>
        <v>95.823999999999984</v>
      </c>
      <c r="I24" s="753">
        <f>(A24-$A$17)*$I$9</f>
        <v>98.182000000000002</v>
      </c>
      <c r="J24" s="755">
        <f t="shared" si="6"/>
        <v>204.00599999999997</v>
      </c>
      <c r="K24" s="749"/>
      <c r="L24" s="756">
        <f t="shared" si="2"/>
        <v>17.693999999999988</v>
      </c>
      <c r="M24" s="403">
        <f t="shared" si="7"/>
        <v>9.4969728197861591E-2</v>
      </c>
    </row>
    <row r="25" spans="1:18" s="747" customFormat="1">
      <c r="A25" s="749"/>
      <c r="B25" s="754"/>
      <c r="C25" s="753"/>
      <c r="D25" s="753"/>
      <c r="E25" s="754"/>
      <c r="F25" s="753"/>
      <c r="G25" s="754"/>
      <c r="H25" s="753"/>
      <c r="I25" s="753"/>
      <c r="J25" s="755"/>
      <c r="K25" s="749"/>
      <c r="L25" s="756"/>
      <c r="M25" s="403"/>
    </row>
    <row r="26" spans="1:18" s="747" customFormat="1">
      <c r="A26" s="749"/>
      <c r="B26" s="754"/>
      <c r="C26" s="753"/>
      <c r="D26" s="753"/>
      <c r="E26" s="754"/>
      <c r="F26" s="753"/>
      <c r="G26" s="754"/>
      <c r="H26" s="753"/>
      <c r="I26" s="753"/>
      <c r="J26" s="755"/>
      <c r="K26" s="749"/>
      <c r="L26" s="756"/>
      <c r="M26" s="403"/>
    </row>
    <row r="27" spans="1:18" s="747" customFormat="1">
      <c r="A27" s="749"/>
      <c r="B27" s="751">
        <f>B9</f>
        <v>10</v>
      </c>
      <c r="C27" s="865">
        <f t="shared" ref="C27:D27" si="8">C9</f>
        <v>0.10936999999999999</v>
      </c>
      <c r="D27" s="865">
        <f t="shared" si="8"/>
        <v>0.12687999999999999</v>
      </c>
      <c r="E27" s="754"/>
      <c r="F27" s="753"/>
      <c r="G27" s="751">
        <f>G9</f>
        <v>10</v>
      </c>
      <c r="H27" s="752">
        <f>'JDM-9 Pg 3'!F15+'JDM-9 Pg 3'!J15</f>
        <v>0.12631999999999999</v>
      </c>
      <c r="I27" s="752">
        <f>'JDM-9 Pg 3'!F16+'JDM-9 Pg 3'!J16</f>
        <v>0.14679999999999999</v>
      </c>
      <c r="J27" s="755"/>
      <c r="K27" s="749"/>
      <c r="L27" s="756"/>
      <c r="M27" s="403"/>
    </row>
    <row r="28" spans="1:18" s="863" customFormat="1" ht="13.5" thickBot="1">
      <c r="A28" s="749"/>
      <c r="B28" s="751"/>
      <c r="C28" s="865"/>
      <c r="D28" s="865"/>
      <c r="E28" s="754"/>
      <c r="F28" s="753"/>
      <c r="G28" s="751"/>
      <c r="H28" s="752"/>
      <c r="I28" s="752"/>
      <c r="J28" s="755"/>
      <c r="K28" s="749"/>
      <c r="L28" s="756"/>
      <c r="M28" s="403"/>
    </row>
    <row r="29" spans="1:18" s="747" customFormat="1" ht="13.5" thickBot="1">
      <c r="A29" s="764">
        <v>945</v>
      </c>
      <c r="B29" s="758">
        <f t="shared" ref="B29" si="9">$B$9</f>
        <v>10</v>
      </c>
      <c r="C29" s="759">
        <f>ROUND($C$17,2)</f>
        <v>87.5</v>
      </c>
      <c r="D29" s="759">
        <f>ROUND((A29-$A$17)*$D$9,2)</f>
        <v>18.399999999999999</v>
      </c>
      <c r="E29" s="758">
        <f t="shared" ref="E29" si="10">SUM(B29:D29)</f>
        <v>115.9</v>
      </c>
      <c r="F29" s="759"/>
      <c r="G29" s="758">
        <f>$G$9</f>
        <v>10</v>
      </c>
      <c r="H29" s="759">
        <f>ROUND(800*H27,2)</f>
        <v>101.06</v>
      </c>
      <c r="I29" s="759">
        <f>ROUND((A29-800)*I27,2)</f>
        <v>21.29</v>
      </c>
      <c r="J29" s="760">
        <f>SUM(G29:I29)</f>
        <v>132.35</v>
      </c>
      <c r="K29" s="761"/>
      <c r="L29" s="762">
        <f t="shared" ref="L29" si="11">J29-E29</f>
        <v>16.449999999999989</v>
      </c>
      <c r="M29" s="763">
        <f>L29/E29</f>
        <v>0.14193270060396884</v>
      </c>
      <c r="N29" s="863"/>
      <c r="O29" s="380" t="s">
        <v>926</v>
      </c>
    </row>
    <row r="30" spans="1:18" s="747" customFormat="1">
      <c r="A30" s="749"/>
      <c r="B30" s="754"/>
      <c r="C30" s="753"/>
      <c r="D30" s="753"/>
      <c r="E30" s="754"/>
      <c r="F30" s="753"/>
      <c r="G30" s="754"/>
      <c r="H30" s="753"/>
      <c r="I30" s="753"/>
      <c r="J30" s="755"/>
      <c r="K30" s="749"/>
      <c r="L30" s="756"/>
      <c r="M30" s="403"/>
    </row>
    <row r="31" spans="1:18" s="747" customFormat="1">
      <c r="A31" s="749"/>
      <c r="B31" s="754"/>
      <c r="C31" s="753"/>
      <c r="D31" s="753"/>
      <c r="E31" s="754"/>
      <c r="F31" s="753"/>
      <c r="G31" s="754"/>
      <c r="H31" s="753"/>
      <c r="I31" s="753"/>
      <c r="J31" s="347">
        <v>600</v>
      </c>
      <c r="K31" s="749"/>
      <c r="L31" s="756">
        <f>J31*'JDM-9 Pg 3'!$L$15</f>
        <v>-3.9239999999999999</v>
      </c>
      <c r="M31" s="403"/>
    </row>
    <row r="32" spans="1:18" s="747" customFormat="1">
      <c r="A32" s="749"/>
      <c r="B32" s="754"/>
      <c r="C32" s="753"/>
      <c r="D32" s="753"/>
      <c r="E32" s="754"/>
      <c r="F32" s="753"/>
      <c r="G32" s="754"/>
      <c r="H32" s="753"/>
      <c r="I32" s="753"/>
      <c r="J32" s="347">
        <v>1000</v>
      </c>
      <c r="K32" s="749"/>
      <c r="L32" s="756">
        <f>J32*'JDM-9 Pg 3'!$L$15</f>
        <v>-6.54</v>
      </c>
      <c r="M32" s="403"/>
    </row>
    <row r="33" spans="1:13" s="747" customFormat="1">
      <c r="A33" s="749"/>
      <c r="B33" s="754"/>
      <c r="C33" s="753"/>
      <c r="D33" s="753"/>
      <c r="E33" s="754"/>
      <c r="F33" s="753"/>
      <c r="G33" s="754"/>
      <c r="H33" s="753"/>
      <c r="I33" s="753"/>
      <c r="J33" s="347">
        <v>1400</v>
      </c>
      <c r="K33" s="749"/>
      <c r="L33" s="756">
        <f>J33*'JDM-9 Pg 3'!$L$15</f>
        <v>-9.1560000000000006</v>
      </c>
      <c r="M33" s="403"/>
    </row>
    <row r="34" spans="1:13">
      <c r="E34" s="754"/>
    </row>
    <row r="37" spans="1:13">
      <c r="G37" s="283">
        <f>(G9-B9)</f>
        <v>0</v>
      </c>
      <c r="H37" s="733">
        <f>(H9-C9)*800</f>
        <v>8.3279999999999905</v>
      </c>
      <c r="I37" s="733">
        <f>(I9-D9)*145</f>
        <v>1.9401000000000004</v>
      </c>
      <c r="L37" s="283"/>
      <c r="M37" s="400"/>
    </row>
    <row r="38" spans="1:13">
      <c r="G38" s="283"/>
      <c r="H38" s="452"/>
      <c r="I38" s="452"/>
      <c r="L38" s="283"/>
      <c r="M38" s="40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K179"/>
  <sheetViews>
    <sheetView showGridLines="0" zoomScale="115" zoomScaleNormal="115" workbookViewId="0">
      <pane xSplit="3" ySplit="3" topLeftCell="D4" activePane="bottomRight" state="frozenSplit"/>
      <selection activeCell="G27" sqref="G27"/>
      <selection pane="topRight" activeCell="G27" sqref="G27"/>
      <selection pane="bottomLeft" activeCell="G27" sqref="G27"/>
      <selection pane="bottomRight" activeCell="B7" sqref="B7"/>
    </sheetView>
  </sheetViews>
  <sheetFormatPr defaultRowHeight="12.75"/>
  <cols>
    <col min="1" max="1" width="4.28515625" customWidth="1"/>
    <col min="2" max="2" width="24.7109375" customWidth="1"/>
    <col min="3" max="3" width="11" bestFit="1" customWidth="1"/>
    <col min="4" max="4" width="12.7109375" bestFit="1" customWidth="1"/>
    <col min="5" max="5" width="13.28515625" customWidth="1"/>
    <col min="6" max="6" width="13.28515625" bestFit="1" customWidth="1"/>
    <col min="7" max="7" width="13.42578125" bestFit="1" customWidth="1"/>
    <col min="8" max="8" width="12.7109375" bestFit="1" customWidth="1"/>
    <col min="9" max="11" width="13.28515625" bestFit="1" customWidth="1"/>
    <col min="12" max="12" width="13" bestFit="1" customWidth="1"/>
    <col min="13" max="13" width="12.5703125" bestFit="1" customWidth="1"/>
    <col min="14" max="15" width="12.7109375" bestFit="1" customWidth="1"/>
    <col min="16" max="16" width="14.5703125" bestFit="1" customWidth="1"/>
    <col min="17" max="18" width="12.7109375" bestFit="1" customWidth="1"/>
    <col min="19" max="19" width="13.28515625" bestFit="1" customWidth="1"/>
    <col min="20" max="20" width="12.85546875" bestFit="1" customWidth="1"/>
    <col min="22" max="22" width="11.85546875" bestFit="1" customWidth="1"/>
    <col min="28" max="28" width="10.85546875" bestFit="1" customWidth="1"/>
  </cols>
  <sheetData>
    <row r="1" spans="1:19" ht="15">
      <c r="A1" s="60" t="s">
        <v>69</v>
      </c>
      <c r="Q1" s="44" t="s">
        <v>331</v>
      </c>
      <c r="R1" s="224">
        <f>Q2</f>
        <v>500000</v>
      </c>
      <c r="S1" s="224">
        <f>R2</f>
        <v>6000000</v>
      </c>
    </row>
    <row r="2" spans="1:19">
      <c r="E2" s="288"/>
      <c r="F2" s="288"/>
      <c r="G2" s="288"/>
      <c r="H2" s="288"/>
      <c r="I2" s="288"/>
      <c r="J2" s="288"/>
      <c r="K2" s="288"/>
      <c r="L2" s="288"/>
      <c r="M2" s="288"/>
      <c r="N2" s="288"/>
      <c r="O2" s="288"/>
      <c r="P2" s="34" t="s">
        <v>361</v>
      </c>
      <c r="Q2" s="146">
        <v>500000</v>
      </c>
      <c r="R2" s="146">
        <v>6000000</v>
      </c>
      <c r="S2" s="225">
        <v>99999999</v>
      </c>
    </row>
    <row r="3" spans="1:19">
      <c r="A3" s="108" t="s">
        <v>362</v>
      </c>
      <c r="B3" s="108"/>
      <c r="C3" s="380" t="s">
        <v>71</v>
      </c>
      <c r="D3" s="375">
        <v>44773</v>
      </c>
      <c r="E3" s="437">
        <f t="shared" ref="E3:O3" si="0">EOMONTH(D3,1)</f>
        <v>44804</v>
      </c>
      <c r="F3" s="437">
        <f t="shared" si="0"/>
        <v>44834</v>
      </c>
      <c r="G3" s="437">
        <f t="shared" si="0"/>
        <v>44865</v>
      </c>
      <c r="H3" s="437">
        <f t="shared" si="0"/>
        <v>44895</v>
      </c>
      <c r="I3" s="437">
        <f t="shared" si="0"/>
        <v>44926</v>
      </c>
      <c r="J3" s="437">
        <f t="shared" si="0"/>
        <v>44957</v>
      </c>
      <c r="K3" s="437">
        <f t="shared" si="0"/>
        <v>44985</v>
      </c>
      <c r="L3" s="437">
        <f t="shared" si="0"/>
        <v>45016</v>
      </c>
      <c r="M3" s="437">
        <f t="shared" si="0"/>
        <v>45046</v>
      </c>
      <c r="N3" s="437">
        <f t="shared" si="0"/>
        <v>45077</v>
      </c>
      <c r="O3" s="437">
        <f t="shared" si="0"/>
        <v>45107</v>
      </c>
      <c r="P3" s="34" t="s">
        <v>64</v>
      </c>
      <c r="Q3" s="226" t="s">
        <v>332</v>
      </c>
      <c r="R3" s="226" t="s">
        <v>332</v>
      </c>
      <c r="S3" s="226" t="s">
        <v>332</v>
      </c>
    </row>
    <row r="4" spans="1:19">
      <c r="A4">
        <v>1</v>
      </c>
      <c r="B4" s="722"/>
      <c r="C4" s="723"/>
      <c r="D4" s="436">
        <v>3511258.8</v>
      </c>
      <c r="E4" s="436">
        <v>3186867.6</v>
      </c>
      <c r="F4" s="436">
        <v>3055896.9</v>
      </c>
      <c r="G4" s="436">
        <v>3104642.1</v>
      </c>
      <c r="H4" s="436">
        <v>3011175.3</v>
      </c>
      <c r="I4" s="436">
        <v>2268634.2000000002</v>
      </c>
      <c r="J4" s="436">
        <v>3063419.1</v>
      </c>
      <c r="K4" s="436">
        <v>3234638.4</v>
      </c>
      <c r="L4" s="436">
        <v>3061333.8</v>
      </c>
      <c r="M4" s="435">
        <v>2825350.5</v>
      </c>
      <c r="N4" s="435">
        <v>2878801.8</v>
      </c>
      <c r="O4" s="435">
        <v>2673388.2000000002</v>
      </c>
      <c r="P4" s="36">
        <f t="shared" ref="P4:P22" si="1">SUM(D4:O4)</f>
        <v>35875406.700000003</v>
      </c>
      <c r="Q4" s="164">
        <f>Q$2*12-SUMPRODUCT(--($D4:$O4&lt;=Q$2),Q$2-$D4:$O4)</f>
        <v>6000000</v>
      </c>
      <c r="R4" s="164">
        <f>R$2*12-SUM($Q4:Q4)-SUMPRODUCT(--($D4:$O4&lt;=R$2),R$2-$D4:$O4)</f>
        <v>29875406.700000003</v>
      </c>
      <c r="S4" s="164">
        <f>S$2*12-SUM($Q4:R4)-SUMPRODUCT(--($D4:$O4&lt;=S$2),S$2-$D4:$O4)</f>
        <v>0</v>
      </c>
    </row>
    <row r="5" spans="1:19">
      <c r="A5">
        <v>2</v>
      </c>
      <c r="B5" s="722"/>
      <c r="C5" s="723"/>
      <c r="D5" s="436">
        <v>2928523.5</v>
      </c>
      <c r="E5" s="436">
        <v>3001309.5</v>
      </c>
      <c r="F5" s="436">
        <v>2828135.1</v>
      </c>
      <c r="G5" s="436">
        <v>2928804.9</v>
      </c>
      <c r="H5" s="436">
        <v>2429800.7999999998</v>
      </c>
      <c r="I5" s="436">
        <v>2414840.4</v>
      </c>
      <c r="J5" s="436">
        <v>2974032.6</v>
      </c>
      <c r="K5" s="436">
        <v>2756651.1</v>
      </c>
      <c r="L5" s="436">
        <v>3054668.4040000001</v>
      </c>
      <c r="M5" s="435">
        <v>2912332.5</v>
      </c>
      <c r="N5" s="435">
        <v>2840705.7</v>
      </c>
      <c r="O5" s="435">
        <v>2802084.6</v>
      </c>
      <c r="P5" s="36">
        <f t="shared" si="1"/>
        <v>33871889.104000002</v>
      </c>
      <c r="Q5" s="164">
        <f t="shared" ref="Q5:Q22" si="2">Q$2*12-SUMPRODUCT(--($D5:$O5&lt;=Q$2),Q$2-$D5:$O5)</f>
        <v>6000000</v>
      </c>
      <c r="R5" s="164">
        <f>R$2*12-SUM($Q5:Q5)-SUMPRODUCT(--($D5:$O5&lt;=R$2),R$2-$D5:$O5)</f>
        <v>27871889.104000002</v>
      </c>
      <c r="S5" s="164">
        <f>S$2*12-SUM($Q5:R5)-SUMPRODUCT(--($D5:$O5&lt;=S$2),S$2-$D5:$O5)</f>
        <v>0</v>
      </c>
    </row>
    <row r="6" spans="1:19">
      <c r="A6">
        <v>3</v>
      </c>
      <c r="B6" s="722"/>
      <c r="C6" s="723"/>
      <c r="D6" s="436">
        <v>856988.3</v>
      </c>
      <c r="E6" s="436">
        <v>906492.3</v>
      </c>
      <c r="F6" s="436">
        <v>807755.9</v>
      </c>
      <c r="G6" s="436">
        <v>917759.5</v>
      </c>
      <c r="H6" s="436">
        <v>1147274.1000000001</v>
      </c>
      <c r="I6" s="436">
        <v>1246434.7</v>
      </c>
      <c r="J6" s="436">
        <v>1330445.2</v>
      </c>
      <c r="K6" s="436">
        <v>1263465.7</v>
      </c>
      <c r="L6" s="436">
        <v>1312467.1040000001</v>
      </c>
      <c r="M6" s="435">
        <v>1213285.5</v>
      </c>
      <c r="N6" s="435">
        <v>1166237.1000000001</v>
      </c>
      <c r="O6" s="435">
        <v>1198017.8</v>
      </c>
      <c r="P6" s="36">
        <f t="shared" si="1"/>
        <v>13366623.204</v>
      </c>
      <c r="Q6" s="164">
        <f t="shared" si="2"/>
        <v>6000000</v>
      </c>
      <c r="R6" s="164">
        <f>R$2*12-SUM($Q6:Q6)-SUMPRODUCT(--($D6:$O6&lt;=R$2),R$2-$D6:$O6)</f>
        <v>7366623.2040000036</v>
      </c>
      <c r="S6" s="164">
        <f>S$2*12-SUM($Q6:R6)-SUMPRODUCT(--($D6:$O6&lt;=S$2),S$2-$D6:$O6)</f>
        <v>0</v>
      </c>
    </row>
    <row r="7" spans="1:19">
      <c r="A7">
        <v>4</v>
      </c>
      <c r="B7" s="722"/>
      <c r="C7" s="723"/>
      <c r="D7" s="436">
        <v>1797020.4</v>
      </c>
      <c r="E7" s="436">
        <v>1812660.15</v>
      </c>
      <c r="F7" s="436">
        <v>1685865.3</v>
      </c>
      <c r="G7" s="436">
        <v>1751905.05</v>
      </c>
      <c r="H7" s="436">
        <v>1815625.875</v>
      </c>
      <c r="I7" s="436">
        <v>1977956.4</v>
      </c>
      <c r="J7" s="436">
        <v>2137982.7000000002</v>
      </c>
      <c r="K7" s="436">
        <v>1835071.35</v>
      </c>
      <c r="L7" s="436">
        <v>2042431.6470000001</v>
      </c>
      <c r="M7" s="435">
        <v>1829402.4</v>
      </c>
      <c r="N7" s="435">
        <v>1938142.5</v>
      </c>
      <c r="O7" s="435">
        <v>1816371.9</v>
      </c>
      <c r="P7" s="36">
        <f t="shared" si="1"/>
        <v>22440435.671999998</v>
      </c>
      <c r="Q7" s="164">
        <f t="shared" si="2"/>
        <v>6000000</v>
      </c>
      <c r="R7" s="164">
        <f>R$2*12-SUM($Q7:Q7)-SUMPRODUCT(--($D7:$O7&lt;=R$2),R$2-$D7:$O7)</f>
        <v>16440435.671999998</v>
      </c>
      <c r="S7" s="164">
        <f>S$2*12-SUM($Q7:R7)-SUMPRODUCT(--($D7:$O7&lt;=S$2),S$2-$D7:$O7)</f>
        <v>0</v>
      </c>
    </row>
    <row r="8" spans="1:19">
      <c r="A8">
        <v>5</v>
      </c>
      <c r="B8" s="722"/>
      <c r="C8" s="723"/>
      <c r="D8" s="436">
        <v>1984929.45</v>
      </c>
      <c r="E8" s="436">
        <v>1948687.65</v>
      </c>
      <c r="F8" s="436">
        <v>1688457.75</v>
      </c>
      <c r="G8" s="436">
        <v>1528496.55</v>
      </c>
      <c r="H8" s="436">
        <v>1503093.899</v>
      </c>
      <c r="I8" s="436">
        <v>1615868.1</v>
      </c>
      <c r="J8" s="436">
        <v>1565022.9</v>
      </c>
      <c r="K8" s="436">
        <v>1469498.1</v>
      </c>
      <c r="L8" s="436">
        <v>1613875.1980000001</v>
      </c>
      <c r="M8" s="435">
        <v>1547398.65</v>
      </c>
      <c r="N8" s="435">
        <v>1800175.65</v>
      </c>
      <c r="O8" s="435">
        <v>1814316</v>
      </c>
      <c r="P8" s="36">
        <f t="shared" si="1"/>
        <v>20079819.897</v>
      </c>
      <c r="Q8" s="164">
        <f t="shared" si="2"/>
        <v>6000000</v>
      </c>
      <c r="R8" s="164">
        <f>R$2*12-SUM($Q8:Q8)-SUMPRODUCT(--($D8:$O8&lt;=R$2),R$2-$D8:$O8)</f>
        <v>14079819.896999992</v>
      </c>
      <c r="S8" s="164">
        <f>S$2*12-SUM($Q8:R8)-SUMPRODUCT(--($D8:$O8&lt;=S$2),S$2-$D8:$O8)</f>
        <v>0</v>
      </c>
    </row>
    <row r="9" spans="1:19">
      <c r="A9">
        <v>6</v>
      </c>
      <c r="B9" s="722"/>
      <c r="C9" s="723"/>
      <c r="D9" s="436">
        <v>1952676.6</v>
      </c>
      <c r="E9" s="436">
        <v>2201875.2000000002</v>
      </c>
      <c r="F9" s="436">
        <v>2155521.2000000002</v>
      </c>
      <c r="G9" s="436">
        <v>2100320.6</v>
      </c>
      <c r="H9" s="436">
        <v>2299484.6</v>
      </c>
      <c r="I9" s="436">
        <v>2499722.4</v>
      </c>
      <c r="J9" s="436">
        <v>2293355.4</v>
      </c>
      <c r="K9" s="436">
        <v>2237482.7999999998</v>
      </c>
      <c r="L9" s="436">
        <v>2192150.8030000003</v>
      </c>
      <c r="M9" s="435">
        <v>2020271.4</v>
      </c>
      <c r="N9" s="435">
        <v>1854825</v>
      </c>
      <c r="O9" s="435">
        <v>1634442.6</v>
      </c>
      <c r="P9" s="36">
        <f t="shared" si="1"/>
        <v>25442128.603</v>
      </c>
      <c r="Q9" s="164">
        <f t="shared" si="2"/>
        <v>6000000</v>
      </c>
      <c r="R9" s="164">
        <f>R$2*12-SUM($Q9:Q9)-SUMPRODUCT(--($D9:$O9&lt;=R$2),R$2-$D9:$O9)</f>
        <v>19442128.603</v>
      </c>
      <c r="S9" s="164">
        <f>S$2*12-SUM($Q9:R9)-SUMPRODUCT(--($D9:$O9&lt;=S$2),S$2-$D9:$O9)</f>
        <v>0</v>
      </c>
    </row>
    <row r="10" spans="1:19">
      <c r="A10">
        <v>7</v>
      </c>
      <c r="B10" s="722"/>
      <c r="C10" s="723"/>
      <c r="D10" s="436">
        <v>1925037.8</v>
      </c>
      <c r="E10" s="436">
        <v>2026042.9</v>
      </c>
      <c r="F10" s="436">
        <v>1860335.4</v>
      </c>
      <c r="G10" s="436">
        <v>1826521.9</v>
      </c>
      <c r="H10" s="436">
        <v>1734973.1</v>
      </c>
      <c r="I10" s="436">
        <v>1821462.3</v>
      </c>
      <c r="J10" s="436">
        <v>1779115.1</v>
      </c>
      <c r="K10" s="436">
        <v>1523330.9</v>
      </c>
      <c r="L10" s="436">
        <v>1665314.6939999999</v>
      </c>
      <c r="M10" s="435">
        <v>1560686.4</v>
      </c>
      <c r="N10" s="435">
        <v>1448044.5</v>
      </c>
      <c r="O10" s="435">
        <v>1533830.2</v>
      </c>
      <c r="P10" s="36">
        <f t="shared" si="1"/>
        <v>20704695.193999998</v>
      </c>
      <c r="Q10" s="164">
        <f t="shared" si="2"/>
        <v>6000000</v>
      </c>
      <c r="R10" s="164">
        <f>R$2*12-SUM($Q10:Q10)-SUMPRODUCT(--($D10:$O10&lt;=R$2),R$2-$D10:$O10)</f>
        <v>14704695.193999998</v>
      </c>
      <c r="S10" s="164">
        <f>S$2*12-SUM($Q10:R10)-SUMPRODUCT(--($D10:$O10&lt;=S$2),S$2-$D10:$O10)</f>
        <v>0</v>
      </c>
    </row>
    <row r="11" spans="1:19">
      <c r="A11">
        <v>8</v>
      </c>
      <c r="B11" s="722"/>
      <c r="C11" s="723"/>
      <c r="D11" s="436">
        <v>1109087.7</v>
      </c>
      <c r="E11" s="436">
        <v>1274903.7</v>
      </c>
      <c r="F11" s="436">
        <v>1162347.8999999999</v>
      </c>
      <c r="G11" s="436">
        <v>1044405.6</v>
      </c>
      <c r="H11" s="436">
        <v>1000465.2</v>
      </c>
      <c r="I11" s="436">
        <v>976697.4</v>
      </c>
      <c r="J11" s="436">
        <v>926994.6</v>
      </c>
      <c r="K11" s="436">
        <v>848901.9</v>
      </c>
      <c r="L11" s="436">
        <v>955495.804</v>
      </c>
      <c r="M11" s="435">
        <v>897579.9</v>
      </c>
      <c r="N11" s="435">
        <v>997117.8</v>
      </c>
      <c r="O11" s="435">
        <v>1026072.6</v>
      </c>
      <c r="P11" s="36">
        <f t="shared" si="1"/>
        <v>12220070.104</v>
      </c>
      <c r="Q11" s="164">
        <f t="shared" si="2"/>
        <v>6000000</v>
      </c>
      <c r="R11" s="164">
        <f>R$2*12-SUM($Q11:Q11)-SUMPRODUCT(--($D11:$O11&lt;=R$2),R$2-$D11:$O11)</f>
        <v>6220070.1039999947</v>
      </c>
      <c r="S11" s="164">
        <f>S$2*12-SUM($Q11:R11)-SUMPRODUCT(--($D11:$O11&lt;=S$2),S$2-$D11:$O11)</f>
        <v>0</v>
      </c>
    </row>
    <row r="12" spans="1:19">
      <c r="A12">
        <v>9</v>
      </c>
      <c r="B12" s="722"/>
      <c r="C12" s="723"/>
      <c r="D12" s="436">
        <v>4120636.8</v>
      </c>
      <c r="E12" s="436">
        <v>5653424.7000000002</v>
      </c>
      <c r="F12" s="436">
        <v>5512867.5</v>
      </c>
      <c r="G12" s="436">
        <v>5579605.5</v>
      </c>
      <c r="H12" s="436">
        <v>5118815.0999999996</v>
      </c>
      <c r="I12" s="436">
        <v>4425432.9000000004</v>
      </c>
      <c r="J12" s="436">
        <v>5296254.5999999996</v>
      </c>
      <c r="K12" s="436">
        <v>4825751.7</v>
      </c>
      <c r="L12" s="436">
        <v>5407283.7010000004</v>
      </c>
      <c r="M12" s="435">
        <v>5340518.4000000004</v>
      </c>
      <c r="N12" s="435">
        <v>4509894.9000000004</v>
      </c>
      <c r="O12" s="435">
        <v>5508087.9000000004</v>
      </c>
      <c r="P12" s="36">
        <f t="shared" si="1"/>
        <v>61298573.700999998</v>
      </c>
      <c r="Q12" s="164">
        <f t="shared" si="2"/>
        <v>6000000</v>
      </c>
      <c r="R12" s="164">
        <f>R$2*12-SUM($Q12:Q12)-SUMPRODUCT(--($D12:$O12&lt;=R$2),R$2-$D12:$O12)</f>
        <v>55298573.701000005</v>
      </c>
      <c r="S12" s="164">
        <f>S$2*12-SUM($Q12:R12)-SUMPRODUCT(--($D12:$O12&lt;=S$2),S$2-$D12:$O12)</f>
        <v>0</v>
      </c>
    </row>
    <row r="13" spans="1:19">
      <c r="A13" s="706">
        <v>10</v>
      </c>
      <c r="B13" s="722"/>
      <c r="C13" s="723"/>
      <c r="D13" s="436">
        <v>5170571.7</v>
      </c>
      <c r="E13" s="436">
        <v>8261138.2000000002</v>
      </c>
      <c r="F13" s="436">
        <v>8188160.4000000004</v>
      </c>
      <c r="G13" s="436">
        <v>7816944.0999999996</v>
      </c>
      <c r="H13" s="436">
        <v>6661612.2999999998</v>
      </c>
      <c r="I13" s="436">
        <v>6015684.5</v>
      </c>
      <c r="J13" s="436">
        <v>8242483.2000000002</v>
      </c>
      <c r="K13" s="436">
        <v>7336605.5</v>
      </c>
      <c r="L13" s="436">
        <v>7273936.6009999998</v>
      </c>
      <c r="M13" s="435">
        <v>7351281</v>
      </c>
      <c r="N13" s="435">
        <v>8152636.7999999998</v>
      </c>
      <c r="O13" s="435">
        <v>8479676.0999999996</v>
      </c>
      <c r="P13" s="36">
        <f t="shared" si="1"/>
        <v>88950730.400999993</v>
      </c>
      <c r="Q13" s="164">
        <f t="shared" si="2"/>
        <v>6000000</v>
      </c>
      <c r="R13" s="164">
        <f>R$2*12-SUM($Q13:Q13)-SUMPRODUCT(--($D13:$O13&lt;=R$2),R$2-$D13:$O13)</f>
        <v>65170571.700000003</v>
      </c>
      <c r="S13" s="164">
        <f>S$2*12-SUM($Q13:R13)-SUMPRODUCT(--($D13:$O13&lt;=S$2),S$2-$D13:$O13)</f>
        <v>17780158.700999975</v>
      </c>
    </row>
    <row r="14" spans="1:19">
      <c r="A14" s="706">
        <v>11</v>
      </c>
      <c r="B14" s="722"/>
      <c r="C14" s="723"/>
      <c r="D14" s="436">
        <v>4021673.25</v>
      </c>
      <c r="E14" s="436">
        <v>4154551.8</v>
      </c>
      <c r="F14" s="436">
        <v>3463632.9</v>
      </c>
      <c r="G14" s="436">
        <v>3208639.35</v>
      </c>
      <c r="H14" s="436">
        <v>3005124.1490000002</v>
      </c>
      <c r="I14" s="436">
        <v>3123847.65</v>
      </c>
      <c r="J14" s="436">
        <v>3038070</v>
      </c>
      <c r="K14" s="436">
        <v>2765902.65</v>
      </c>
      <c r="L14" s="436">
        <v>3065599.9739999999</v>
      </c>
      <c r="M14" s="435">
        <v>3005830.8</v>
      </c>
      <c r="N14" s="435">
        <v>3541195.35</v>
      </c>
      <c r="O14" s="435">
        <v>3558683.1</v>
      </c>
      <c r="P14" s="36">
        <f t="shared" si="1"/>
        <v>39952750.972999997</v>
      </c>
      <c r="Q14" s="164">
        <f t="shared" si="2"/>
        <v>6000000</v>
      </c>
      <c r="R14" s="164">
        <f>R$2*12-SUM($Q14:Q14)-SUMPRODUCT(--($D14:$O14&lt;=R$2),R$2-$D14:$O14)</f>
        <v>33952750.973000005</v>
      </c>
      <c r="S14" s="164">
        <f>S$2*12-SUM($Q14:R14)-SUMPRODUCT(--($D14:$O14&lt;=S$2),S$2-$D14:$O14)</f>
        <v>0</v>
      </c>
    </row>
    <row r="15" spans="1:19">
      <c r="A15" s="706">
        <v>12</v>
      </c>
      <c r="B15" s="722"/>
      <c r="C15" s="723"/>
      <c r="D15" s="436">
        <v>1229254.95</v>
      </c>
      <c r="E15" s="436">
        <v>1302681.45</v>
      </c>
      <c r="F15" s="436">
        <v>1112624.1000000001</v>
      </c>
      <c r="G15" s="436">
        <v>1003809.45</v>
      </c>
      <c r="H15" s="436">
        <v>866227.95</v>
      </c>
      <c r="I15" s="436">
        <v>929797.05</v>
      </c>
      <c r="J15" s="436">
        <v>929140.8</v>
      </c>
      <c r="K15" s="436">
        <v>837446.4</v>
      </c>
      <c r="L15" s="436">
        <v>918053.85600000003</v>
      </c>
      <c r="M15" s="435">
        <v>899236.8</v>
      </c>
      <c r="N15" s="435">
        <v>1161149.8500000001</v>
      </c>
      <c r="O15" s="435">
        <v>1173304.6499999999</v>
      </c>
      <c r="P15" s="36">
        <f t="shared" si="1"/>
        <v>12362727.306000002</v>
      </c>
      <c r="Q15" s="164">
        <f t="shared" si="2"/>
        <v>6000000</v>
      </c>
      <c r="R15" s="164">
        <f>R$2*12-SUM($Q15:Q15)-SUMPRODUCT(--($D15:$O15&lt;=R$2),R$2-$D15:$O15)</f>
        <v>6362727.3059999943</v>
      </c>
      <c r="S15" s="164">
        <f>S$2*12-SUM($Q15:R15)-SUMPRODUCT(--($D15:$O15&lt;=S$2),S$2-$D15:$O15)</f>
        <v>0</v>
      </c>
    </row>
    <row r="16" spans="1:19">
      <c r="A16" s="706">
        <v>13</v>
      </c>
      <c r="B16" s="722"/>
      <c r="C16" s="723"/>
      <c r="D16" s="436">
        <v>1000721.1</v>
      </c>
      <c r="E16" s="436">
        <v>1036725</v>
      </c>
      <c r="F16" s="436">
        <v>915138.3</v>
      </c>
      <c r="G16" s="436">
        <v>969222</v>
      </c>
      <c r="H16" s="436">
        <v>996378.45</v>
      </c>
      <c r="I16" s="436">
        <v>912984.3</v>
      </c>
      <c r="J16" s="436">
        <v>1184713.5</v>
      </c>
      <c r="K16" s="436">
        <v>1022634.3</v>
      </c>
      <c r="L16" s="436">
        <v>1132960.7889999999</v>
      </c>
      <c r="M16" s="435">
        <v>939020.4</v>
      </c>
      <c r="N16" s="435">
        <v>921342.6</v>
      </c>
      <c r="O16" s="435">
        <v>900782.4</v>
      </c>
      <c r="P16" s="36">
        <f t="shared" si="1"/>
        <v>11932623.139</v>
      </c>
      <c r="Q16" s="164">
        <f t="shared" si="2"/>
        <v>6000000</v>
      </c>
      <c r="R16" s="164">
        <f>R$2*12-SUM($Q16:Q16)-SUMPRODUCT(--($D16:$O16&lt;=R$2),R$2-$D16:$O16)</f>
        <v>5932623.1389999911</v>
      </c>
      <c r="S16" s="164">
        <f>S$2*12-SUM($Q16:R16)-SUMPRODUCT(--($D16:$O16&lt;=S$2),S$2-$D16:$O16)</f>
        <v>0</v>
      </c>
    </row>
    <row r="17" spans="1:37">
      <c r="A17" s="706">
        <v>14</v>
      </c>
      <c r="B17" s="722"/>
      <c r="C17" s="723"/>
      <c r="D17" s="436">
        <v>1626755.2</v>
      </c>
      <c r="E17" s="436">
        <v>1699199.6</v>
      </c>
      <c r="F17" s="436">
        <v>1200827.6000000001</v>
      </c>
      <c r="G17" s="436">
        <v>1775426.8</v>
      </c>
      <c r="H17" s="436">
        <v>1950790.7990000001</v>
      </c>
      <c r="I17" s="436">
        <v>1894396</v>
      </c>
      <c r="J17" s="436">
        <v>2092776</v>
      </c>
      <c r="K17" s="436">
        <v>1895969.6</v>
      </c>
      <c r="L17" s="436">
        <v>2047808</v>
      </c>
      <c r="M17" s="435">
        <v>1903053.6</v>
      </c>
      <c r="N17" s="435">
        <v>1637476.4</v>
      </c>
      <c r="O17" s="435">
        <v>1426454.4</v>
      </c>
      <c r="P17" s="36">
        <f t="shared" si="1"/>
        <v>21150933.998999998</v>
      </c>
      <c r="Q17" s="164">
        <f t="shared" si="2"/>
        <v>6000000</v>
      </c>
      <c r="R17" s="164">
        <f>R$2*12-SUM($Q17:Q17)-SUMPRODUCT(--($D17:$O17&lt;=R$2),R$2-$D17:$O17)</f>
        <v>15150933.998999998</v>
      </c>
      <c r="S17" s="164">
        <f>S$2*12-SUM($Q17:R17)-SUMPRODUCT(--($D17:$O17&lt;=S$2),S$2-$D17:$O17)</f>
        <v>0</v>
      </c>
    </row>
    <row r="18" spans="1:37">
      <c r="A18" s="706">
        <v>15</v>
      </c>
      <c r="B18" s="722"/>
      <c r="C18" s="723"/>
      <c r="D18" s="436">
        <v>2231182.7999999998</v>
      </c>
      <c r="E18" s="436">
        <v>2339316</v>
      </c>
      <c r="F18" s="436">
        <v>2286905.6</v>
      </c>
      <c r="G18" s="436">
        <v>2358106.7999999998</v>
      </c>
      <c r="H18" s="436">
        <v>2419482.7990000001</v>
      </c>
      <c r="I18" s="436">
        <v>2374811.6</v>
      </c>
      <c r="J18" s="436">
        <v>2380380.7999999998</v>
      </c>
      <c r="K18" s="436">
        <v>2227458.7999999998</v>
      </c>
      <c r="L18" s="436">
        <v>2363544.4</v>
      </c>
      <c r="M18" s="435">
        <v>2247949.7600000002</v>
      </c>
      <c r="N18" s="435">
        <v>2170445.2000000002</v>
      </c>
      <c r="O18" s="435">
        <v>2109396.71</v>
      </c>
      <c r="P18" s="36">
        <f t="shared" si="1"/>
        <v>27508981.269000001</v>
      </c>
      <c r="Q18" s="164">
        <f t="shared" si="2"/>
        <v>6000000</v>
      </c>
      <c r="R18" s="164">
        <f>R$2*12-SUM($Q18:Q18)-SUMPRODUCT(--($D18:$O18&lt;=R$2),R$2-$D18:$O18)</f>
        <v>21508981.269000001</v>
      </c>
      <c r="S18" s="164">
        <f>S$2*12-SUM($Q18:R18)-SUMPRODUCT(--($D18:$O18&lt;=S$2),S$2-$D18:$O18)</f>
        <v>0</v>
      </c>
    </row>
    <row r="19" spans="1:37">
      <c r="A19" s="706">
        <v>16</v>
      </c>
      <c r="B19" s="722"/>
      <c r="C19" s="723"/>
      <c r="D19" s="436">
        <v>5078423.53</v>
      </c>
      <c r="E19" s="436">
        <v>5436065.71</v>
      </c>
      <c r="F19" s="436">
        <v>4198212.71</v>
      </c>
      <c r="G19" s="436">
        <v>3637543.8</v>
      </c>
      <c r="H19" s="436">
        <v>3420787.42</v>
      </c>
      <c r="I19" s="436">
        <v>3665818.33</v>
      </c>
      <c r="J19" s="436">
        <v>3633320.85</v>
      </c>
      <c r="K19" s="436">
        <v>3266305.98</v>
      </c>
      <c r="L19" s="436">
        <v>3756475.61</v>
      </c>
      <c r="M19" s="435">
        <v>3620754.19</v>
      </c>
      <c r="N19" s="435">
        <v>4308114.21</v>
      </c>
      <c r="O19" s="435">
        <v>4421650.9399999995</v>
      </c>
      <c r="P19" s="36">
        <f t="shared" si="1"/>
        <v>48443473.280000001</v>
      </c>
      <c r="Q19" s="164">
        <f t="shared" si="2"/>
        <v>6000000</v>
      </c>
      <c r="R19" s="164">
        <f>R$2*12-SUM($Q19:Q19)-SUMPRODUCT(--($D19:$O19&lt;=R$2),R$2-$D19:$O19)</f>
        <v>42443473.280000001</v>
      </c>
      <c r="S19" s="164">
        <f>S$2*12-SUM($Q19:R19)-SUMPRODUCT(--($D19:$O19&lt;=S$2),S$2-$D19:$O19)</f>
        <v>0</v>
      </c>
    </row>
    <row r="20" spans="1:37">
      <c r="A20" s="706">
        <v>17</v>
      </c>
      <c r="B20" s="722"/>
      <c r="C20" s="723"/>
      <c r="D20" s="436">
        <v>2812998.3</v>
      </c>
      <c r="E20" s="436">
        <v>2858826.6</v>
      </c>
      <c r="F20" s="436">
        <v>2819817</v>
      </c>
      <c r="G20" s="436">
        <v>2972930.1</v>
      </c>
      <c r="H20" s="436">
        <v>3074927.1</v>
      </c>
      <c r="I20" s="436">
        <v>3223151.4</v>
      </c>
      <c r="J20" s="436">
        <v>3242091.3</v>
      </c>
      <c r="K20" s="436">
        <v>2788590</v>
      </c>
      <c r="L20" s="436">
        <v>2834997.9070000001</v>
      </c>
      <c r="M20" s="435">
        <v>2514447.6</v>
      </c>
      <c r="N20" s="435">
        <v>2542360.7999999998</v>
      </c>
      <c r="O20" s="435">
        <v>2389409.4</v>
      </c>
      <c r="P20" s="36">
        <f t="shared" si="1"/>
        <v>34074547.507000007</v>
      </c>
      <c r="Q20" s="164">
        <f t="shared" si="2"/>
        <v>6000000</v>
      </c>
      <c r="R20" s="164">
        <f>R$2*12-SUM($Q20:Q20)-SUMPRODUCT(--($D20:$O20&lt;=R$2),R$2-$D20:$O20)</f>
        <v>28074547.506999999</v>
      </c>
      <c r="S20" s="164">
        <f>S$2*12-SUM($Q20:R20)-SUMPRODUCT(--($D20:$O20&lt;=S$2),S$2-$D20:$O20)</f>
        <v>0</v>
      </c>
    </row>
    <row r="21" spans="1:37">
      <c r="A21" s="706">
        <v>18</v>
      </c>
      <c r="B21" s="722"/>
      <c r="C21" s="723"/>
      <c r="D21" s="436">
        <v>2252556</v>
      </c>
      <c r="E21" s="436">
        <v>2340004</v>
      </c>
      <c r="F21" s="436">
        <v>2349484</v>
      </c>
      <c r="G21" s="436">
        <v>2436460</v>
      </c>
      <c r="H21" s="436">
        <v>2701436</v>
      </c>
      <c r="I21" s="436">
        <v>2832684</v>
      </c>
      <c r="J21" s="436">
        <v>2681960</v>
      </c>
      <c r="K21" s="436">
        <v>2521624</v>
      </c>
      <c r="L21" s="436">
        <v>2706560.0049999999</v>
      </c>
      <c r="M21" s="435">
        <v>2415816</v>
      </c>
      <c r="N21" s="435">
        <v>2203720</v>
      </c>
      <c r="O21" s="435">
        <v>2098284</v>
      </c>
      <c r="P21" s="36">
        <f t="shared" si="1"/>
        <v>29540588.004999999</v>
      </c>
      <c r="Q21" s="164">
        <f t="shared" si="2"/>
        <v>6000000</v>
      </c>
      <c r="R21" s="164">
        <f>R$2*12-SUM($Q21:Q21)-SUMPRODUCT(--($D21:$O21&lt;=R$2),R$2-$D21:$O21)</f>
        <v>23540588.004999995</v>
      </c>
      <c r="S21" s="164">
        <f>S$2*12-SUM($Q21:R21)-SUMPRODUCT(--($D21:$O21&lt;=S$2),S$2-$D21:$O21)</f>
        <v>0</v>
      </c>
    </row>
    <row r="22" spans="1:37">
      <c r="A22" s="706">
        <v>19</v>
      </c>
      <c r="B22" s="722"/>
      <c r="C22" s="723"/>
      <c r="D22" s="436">
        <v>3092532.8</v>
      </c>
      <c r="E22" s="436">
        <v>3419180.8</v>
      </c>
      <c r="F22" s="436">
        <v>2982862.398</v>
      </c>
      <c r="G22" s="436">
        <v>2576316.4</v>
      </c>
      <c r="H22" s="436">
        <v>1889022.8</v>
      </c>
      <c r="I22" s="436">
        <v>1824893</v>
      </c>
      <c r="J22" s="436">
        <v>1904504</v>
      </c>
      <c r="K22" s="436">
        <v>1826638.8</v>
      </c>
      <c r="L22" s="436">
        <v>1916412.4010000001</v>
      </c>
      <c r="M22" s="436">
        <v>1962220.4</v>
      </c>
      <c r="N22" s="436">
        <v>2326511.6</v>
      </c>
      <c r="O22" s="436">
        <v>2809906.4</v>
      </c>
      <c r="P22" s="36">
        <f t="shared" si="1"/>
        <v>28531001.798999999</v>
      </c>
      <c r="Q22" s="164">
        <f t="shared" si="2"/>
        <v>6000000</v>
      </c>
      <c r="R22" s="164">
        <f>R$2*12-SUM($Q22:Q22)-SUMPRODUCT(--($D22:$O22&lt;=R$2),R$2-$D22:$O22)</f>
        <v>22531001.799000002</v>
      </c>
      <c r="S22" s="164">
        <f>S$2*12-SUM($Q22:R22)-SUMPRODUCT(--($D22:$O22&lt;=S$2),S$2-$D22:$O22)</f>
        <v>0</v>
      </c>
    </row>
    <row r="23" spans="1:37" s="18" customFormat="1">
      <c r="A23" s="706">
        <v>20</v>
      </c>
      <c r="B23" s="722"/>
      <c r="C23" s="723"/>
      <c r="D23" s="436">
        <v>2618775.6</v>
      </c>
      <c r="E23" s="436">
        <v>2466228.7999999998</v>
      </c>
      <c r="F23" s="436">
        <v>2677374</v>
      </c>
      <c r="G23" s="436">
        <v>2642166.7999999998</v>
      </c>
      <c r="H23" s="436">
        <v>2901285.8</v>
      </c>
      <c r="I23" s="436">
        <v>1758761.2</v>
      </c>
      <c r="J23" s="436">
        <v>3071020.4</v>
      </c>
      <c r="K23" s="436">
        <v>2436182</v>
      </c>
      <c r="L23" s="436">
        <v>2526554.8080000002</v>
      </c>
      <c r="M23" s="435">
        <v>2511793.2000000002</v>
      </c>
      <c r="N23" s="435">
        <v>2308535.6</v>
      </c>
      <c r="O23" s="435">
        <v>2660677.6</v>
      </c>
      <c r="P23" s="272">
        <f>SUM(D23:O23)</f>
        <v>30579355.808000002</v>
      </c>
      <c r="Q23" s="514">
        <f>Q$2*12-SUMPRODUCT(--($D23:$O23&lt;=Q$2),Q$2-$D23:$O23)</f>
        <v>6000000</v>
      </c>
      <c r="R23" s="514">
        <f>R$2*12-SUM($Q23:Q23)-SUMPRODUCT(--($D23:$O23&lt;=R$2),R$2-$D23:$O23)</f>
        <v>24579355.808000006</v>
      </c>
      <c r="S23" s="514">
        <f>S$2*12-SUM($Q23:R23)-SUMPRODUCT(--($D23:$O23&lt;=S$2),S$2-$D23:$O23)</f>
        <v>0</v>
      </c>
    </row>
    <row r="24" spans="1:37" s="541" customFormat="1">
      <c r="A24" s="706">
        <v>21</v>
      </c>
      <c r="B24" s="722"/>
      <c r="C24" s="723"/>
      <c r="D24" s="436">
        <v>715818.6</v>
      </c>
      <c r="E24" s="436">
        <v>766483.2</v>
      </c>
      <c r="F24" s="436">
        <v>691366.2</v>
      </c>
      <c r="G24" s="436">
        <v>738360</v>
      </c>
      <c r="H24" s="436">
        <v>836276.7</v>
      </c>
      <c r="I24" s="436">
        <v>847761.6</v>
      </c>
      <c r="J24" s="436">
        <v>888816.6</v>
      </c>
      <c r="K24" s="436">
        <v>833366.1</v>
      </c>
      <c r="L24" s="436">
        <v>921173.402</v>
      </c>
      <c r="M24" s="435">
        <v>757948.8</v>
      </c>
      <c r="N24" s="435">
        <v>740604.9</v>
      </c>
      <c r="O24" s="435">
        <v>779654.4</v>
      </c>
      <c r="P24" s="347">
        <f>SUM(D24:O24)</f>
        <v>9517630.5019999985</v>
      </c>
      <c r="Q24" s="164">
        <f>Q$2*12-SUMPRODUCT(--($D24:$O24&lt;=Q$2),Q$2-$D24:$O24)</f>
        <v>6000000</v>
      </c>
      <c r="R24" s="164">
        <f>R$2*12-SUM($Q24:Q24)-SUMPRODUCT(--($D24:$O24&lt;=R$2),R$2-$D24:$O24)</f>
        <v>3517630.5019999966</v>
      </c>
      <c r="S24" s="164">
        <f>S$2*12-SUM($Q24:R24)-SUMPRODUCT(--($D24:$O24&lt;=S$2),S$2-$D24:$O24)</f>
        <v>0</v>
      </c>
    </row>
    <row r="25" spans="1:37" ht="13.5" thickBot="1">
      <c r="B25" t="s">
        <v>330</v>
      </c>
      <c r="D25" s="223">
        <f t="shared" ref="D25:O25" si="3">SUM(D4:D24)</f>
        <v>52037423.179999992</v>
      </c>
      <c r="E25" s="376">
        <f t="shared" si="3"/>
        <v>58092664.859999999</v>
      </c>
      <c r="F25" s="376">
        <f t="shared" si="3"/>
        <v>53643588.158000007</v>
      </c>
      <c r="G25" s="376">
        <f t="shared" si="3"/>
        <v>52918387.299999997</v>
      </c>
      <c r="H25" s="376">
        <f t="shared" si="3"/>
        <v>50784060.240999997</v>
      </c>
      <c r="I25" s="376">
        <f t="shared" si="3"/>
        <v>48651639.43</v>
      </c>
      <c r="J25" s="376">
        <f t="shared" si="3"/>
        <v>54655899.649999999</v>
      </c>
      <c r="K25" s="376">
        <f t="shared" si="3"/>
        <v>49753516.079999991</v>
      </c>
      <c r="L25" s="376">
        <f t="shared" si="3"/>
        <v>52769098.908</v>
      </c>
      <c r="M25" s="376">
        <f t="shared" si="3"/>
        <v>50276178.199999996</v>
      </c>
      <c r="N25" s="376">
        <f t="shared" si="3"/>
        <v>51448038.260000013</v>
      </c>
      <c r="O25" s="376">
        <f t="shared" si="3"/>
        <v>52814491.899999991</v>
      </c>
      <c r="P25" s="228">
        <f>IF(ROUND(SUM(P4:P24),0)&lt;&gt;ROUND(SUM(D25:O25),0),#VALUE!,SUM(P4:P24))</f>
        <v>627844986.16700006</v>
      </c>
      <c r="Q25" s="227">
        <f>SUM(Q4:Q24)</f>
        <v>126000000</v>
      </c>
      <c r="R25" s="227">
        <f>SUM(R4:R24)</f>
        <v>484064827.46600002</v>
      </c>
      <c r="S25" s="227">
        <f>SUM(S4:S24)</f>
        <v>17780158.700999975</v>
      </c>
    </row>
    <row r="26" spans="1:37" ht="13.5" thickTop="1">
      <c r="D26" s="18"/>
      <c r="E26" s="18"/>
      <c r="F26" s="18"/>
      <c r="G26" s="18"/>
      <c r="H26" s="18"/>
      <c r="I26" s="18"/>
      <c r="J26" s="18"/>
      <c r="K26" s="18"/>
      <c r="L26" s="18"/>
      <c r="Q26" s="211"/>
      <c r="R26" s="211"/>
      <c r="S26" s="70">
        <f>SUM(Q25:S25)</f>
        <v>627844986.16700006</v>
      </c>
    </row>
    <row r="27" spans="1:37" ht="12.75" customHeight="1">
      <c r="B27" t="s">
        <v>72</v>
      </c>
      <c r="D27" s="436">
        <v>51265295.43</v>
      </c>
      <c r="E27" s="436">
        <v>52037423.18</v>
      </c>
      <c r="F27" s="436">
        <v>58092664.859999999</v>
      </c>
      <c r="G27" s="436">
        <v>53643588.158</v>
      </c>
      <c r="H27" s="436">
        <v>52918387.299999997</v>
      </c>
      <c r="I27" s="436">
        <v>50784060.240999997</v>
      </c>
      <c r="J27" s="436">
        <v>97536235.530000001</v>
      </c>
      <c r="K27" s="436">
        <v>5771303.5499999998</v>
      </c>
      <c r="L27" s="436">
        <v>49753516.079999998</v>
      </c>
      <c r="M27" s="436">
        <v>52769098.908</v>
      </c>
      <c r="N27" s="436">
        <v>50328800.840000004</v>
      </c>
      <c r="O27" s="436">
        <v>51395415.619999997</v>
      </c>
      <c r="P27" s="36">
        <f>SUM(D27:O27)</f>
        <v>626295789.69700003</v>
      </c>
      <c r="S27" s="70"/>
    </row>
    <row r="28" spans="1:37" ht="12.75" customHeight="1">
      <c r="B28" s="346" t="s">
        <v>405</v>
      </c>
      <c r="D28" s="436">
        <v>-50629514</v>
      </c>
      <c r="E28" s="436">
        <v>-52372708</v>
      </c>
      <c r="F28" s="436">
        <v>-56109089</v>
      </c>
      <c r="G28" s="436">
        <v>-55143471</v>
      </c>
      <c r="H28" s="436">
        <v>-53140833</v>
      </c>
      <c r="I28" s="436">
        <v>-51049441</v>
      </c>
      <c r="J28" s="436">
        <v>-48873135</v>
      </c>
      <c r="K28" s="436">
        <v>-33456990</v>
      </c>
      <c r="L28" s="436">
        <v>-49912722</v>
      </c>
      <c r="M28" s="436">
        <v>-53023642</v>
      </c>
      <c r="N28" s="436">
        <v>-50432893</v>
      </c>
      <c r="O28" s="436">
        <v>-51607236</v>
      </c>
      <c r="P28" s="347">
        <f t="shared" ref="P28:P33" si="4">SUM(D28:O28)</f>
        <v>-605751674</v>
      </c>
    </row>
    <row r="29" spans="1:37" ht="12.75" customHeight="1">
      <c r="B29" s="346" t="s">
        <v>406</v>
      </c>
      <c r="D29" s="436">
        <v>52372708</v>
      </c>
      <c r="E29" s="436">
        <v>56109089</v>
      </c>
      <c r="F29" s="436">
        <v>55143471</v>
      </c>
      <c r="G29" s="436">
        <v>53140833</v>
      </c>
      <c r="H29" s="436">
        <v>51049441</v>
      </c>
      <c r="I29" s="436">
        <v>48873135</v>
      </c>
      <c r="J29" s="436">
        <v>33456990</v>
      </c>
      <c r="K29" s="436">
        <v>49912722</v>
      </c>
      <c r="L29" s="436">
        <v>53023642</v>
      </c>
      <c r="M29" s="436">
        <v>50432893</v>
      </c>
      <c r="N29" s="436">
        <v>51607236</v>
      </c>
      <c r="O29" s="436">
        <v>52910605</v>
      </c>
      <c r="P29" s="347">
        <f t="shared" si="4"/>
        <v>608032765</v>
      </c>
    </row>
    <row r="30" spans="1:37" s="343" customFormat="1" ht="12.75" customHeight="1">
      <c r="B30" s="345" t="s">
        <v>407</v>
      </c>
      <c r="D30" s="436">
        <f t="shared" ref="D30:O30" si="5">D25-D27-D28-D29-D31-D32-D33</f>
        <v>-335284.82000000775</v>
      </c>
      <c r="E30" s="436">
        <f t="shared" si="5"/>
        <v>1983575.8599999994</v>
      </c>
      <c r="F30" s="436">
        <f t="shared" si="5"/>
        <v>-1499882.8419999927</v>
      </c>
      <c r="G30" s="436">
        <f t="shared" si="5"/>
        <v>-222445.70000000298</v>
      </c>
      <c r="H30" s="436">
        <f t="shared" si="5"/>
        <v>-265380.75900000334</v>
      </c>
      <c r="I30" s="436">
        <f t="shared" si="5"/>
        <v>-221495.5700000003</v>
      </c>
      <c r="J30" s="436">
        <f t="shared" si="5"/>
        <v>21198909.649999999</v>
      </c>
      <c r="K30" s="436">
        <f t="shared" si="5"/>
        <v>-159205.91999999806</v>
      </c>
      <c r="L30" s="436">
        <f t="shared" si="5"/>
        <v>-254543.09200000018</v>
      </c>
      <c r="M30" s="436">
        <f t="shared" si="5"/>
        <v>-156714.80000000447</v>
      </c>
      <c r="N30" s="436">
        <f t="shared" si="5"/>
        <v>-159197.73999998719</v>
      </c>
      <c r="O30" s="436">
        <f t="shared" si="5"/>
        <v>-96113.100000008941</v>
      </c>
      <c r="P30" s="347">
        <f>SUM(D30:O30)</f>
        <v>19812221.166999992</v>
      </c>
    </row>
    <row r="31" spans="1:37" ht="12.75" customHeight="1">
      <c r="B31" s="345" t="s">
        <v>408</v>
      </c>
      <c r="D31" s="436">
        <f t="shared" ref="D31:O31" si="6">-(D27+D28)</f>
        <v>-635781.4299999997</v>
      </c>
      <c r="E31" s="436">
        <f t="shared" si="6"/>
        <v>335284.8200000003</v>
      </c>
      <c r="F31" s="436">
        <f t="shared" si="6"/>
        <v>-1983575.8599999994</v>
      </c>
      <c r="G31" s="436">
        <f t="shared" si="6"/>
        <v>1499882.8420000002</v>
      </c>
      <c r="H31" s="436">
        <f t="shared" si="6"/>
        <v>222445.70000000298</v>
      </c>
      <c r="I31" s="436">
        <f t="shared" si="6"/>
        <v>265380.75900000334</v>
      </c>
      <c r="J31" s="436">
        <f t="shared" si="6"/>
        <v>-48663100.530000001</v>
      </c>
      <c r="K31" s="436">
        <f t="shared" si="6"/>
        <v>27685686.449999999</v>
      </c>
      <c r="L31" s="436">
        <f t="shared" si="6"/>
        <v>159205.92000000179</v>
      </c>
      <c r="M31" s="436">
        <f t="shared" si="6"/>
        <v>254543.09200000018</v>
      </c>
      <c r="N31" s="436">
        <f t="shared" si="6"/>
        <v>104092.15999999642</v>
      </c>
      <c r="O31" s="436">
        <f t="shared" si="6"/>
        <v>211820.38000000268</v>
      </c>
      <c r="P31" s="347">
        <f t="shared" si="4"/>
        <v>-20544115.696999993</v>
      </c>
    </row>
    <row r="32" spans="1:37" s="401" customFormat="1" ht="12.75" customHeight="1">
      <c r="B32" s="669" t="s">
        <v>776</v>
      </c>
      <c r="C32" s="647"/>
      <c r="D32" s="671"/>
      <c r="E32" s="671"/>
      <c r="F32" s="671"/>
      <c r="G32" s="671"/>
      <c r="H32" s="671"/>
      <c r="I32" s="671"/>
      <c r="J32" s="671"/>
      <c r="K32" s="671"/>
      <c r="L32" s="671"/>
      <c r="M32" s="671"/>
      <c r="N32" s="671"/>
      <c r="O32" s="671"/>
      <c r="P32" s="347">
        <f t="shared" si="4"/>
        <v>0</v>
      </c>
      <c r="Q32" s="627"/>
      <c r="R32" s="627"/>
      <c r="S32" s="627"/>
      <c r="T32" s="627"/>
      <c r="U32" s="627"/>
      <c r="AB32" s="422"/>
      <c r="AC32" s="422"/>
      <c r="AD32" s="422"/>
      <c r="AE32" s="422"/>
      <c r="AF32" s="422"/>
      <c r="AG32" s="422"/>
      <c r="AH32" s="422"/>
      <c r="AI32" s="422"/>
      <c r="AJ32" s="422"/>
      <c r="AK32" s="422"/>
    </row>
    <row r="33" spans="1:37" s="343" customFormat="1" ht="12.75" customHeight="1">
      <c r="B33" s="669" t="s">
        <v>775</v>
      </c>
      <c r="C33" s="647"/>
      <c r="D33" s="670"/>
      <c r="E33" s="670"/>
      <c r="F33" s="670"/>
      <c r="G33" s="670"/>
      <c r="H33" s="670"/>
      <c r="I33" s="670"/>
      <c r="J33" s="670"/>
      <c r="K33" s="670"/>
      <c r="L33" s="670"/>
      <c r="M33" s="670"/>
      <c r="N33" s="670"/>
      <c r="O33" s="670"/>
      <c r="P33" s="347">
        <f t="shared" si="4"/>
        <v>0</v>
      </c>
      <c r="Q33" s="672"/>
      <c r="R33" s="647"/>
      <c r="S33" s="647"/>
      <c r="T33" s="647"/>
      <c r="U33" s="647"/>
      <c r="V33" s="647"/>
      <c r="AB33" s="422"/>
      <c r="AC33" s="422"/>
      <c r="AD33" s="422"/>
      <c r="AE33" s="422"/>
      <c r="AF33" s="422"/>
      <c r="AG33" s="422"/>
      <c r="AH33" s="422"/>
      <c r="AI33" s="422"/>
      <c r="AJ33" s="422"/>
      <c r="AK33" s="422"/>
    </row>
    <row r="34" spans="1:37" ht="12.75" customHeight="1" thickBot="1">
      <c r="B34" s="135" t="s">
        <v>333</v>
      </c>
      <c r="D34" s="376">
        <f>SUM(D27:D33)</f>
        <v>52037423.179999992</v>
      </c>
      <c r="E34" s="376">
        <f t="shared" ref="E34:J34" si="7">SUM(E27:E33)</f>
        <v>58092664.859999999</v>
      </c>
      <c r="F34" s="376">
        <f t="shared" si="7"/>
        <v>53643588.158000007</v>
      </c>
      <c r="G34" s="376">
        <f>SUM(G27:G33)</f>
        <v>52918387.299999997</v>
      </c>
      <c r="H34" s="376">
        <f t="shared" si="7"/>
        <v>50784060.240999997</v>
      </c>
      <c r="I34" s="376">
        <f t="shared" si="7"/>
        <v>48651639.43</v>
      </c>
      <c r="J34" s="376">
        <f t="shared" si="7"/>
        <v>54655899.650000006</v>
      </c>
      <c r="K34" s="223">
        <f>SUM(K27:K33)</f>
        <v>49753516.079999998</v>
      </c>
      <c r="L34" s="223">
        <f>SUM(L27:L33)</f>
        <v>52769098.908</v>
      </c>
      <c r="M34" s="376">
        <f>SUM(M27:M33)</f>
        <v>50276178.199999996</v>
      </c>
      <c r="N34" s="376">
        <f>SUM(N27:N33)</f>
        <v>51448038.260000013</v>
      </c>
      <c r="O34" s="376">
        <f>SUM(O27:O33)</f>
        <v>52814491.899999991</v>
      </c>
      <c r="P34" s="229">
        <f>IF(ROUND(SUM(P27:P33),0)&lt;&gt;ROUND(SUM(D34:O34),0),#VALUE!,SUM(P27:P33))</f>
        <v>627844986.16699994</v>
      </c>
    </row>
    <row r="35" spans="1:37" ht="12.75" customHeight="1" thickTop="1">
      <c r="B35" s="135"/>
      <c r="D35" s="78">
        <f>D34-D25</f>
        <v>0</v>
      </c>
      <c r="E35" s="78">
        <f t="shared" ref="E35:P35" si="8">E34-E25</f>
        <v>0</v>
      </c>
      <c r="F35" s="78">
        <f t="shared" si="8"/>
        <v>0</v>
      </c>
      <c r="G35" s="78">
        <f>G34-G25</f>
        <v>0</v>
      </c>
      <c r="H35" s="78">
        <f t="shared" si="8"/>
        <v>0</v>
      </c>
      <c r="I35" s="78">
        <f t="shared" si="8"/>
        <v>0</v>
      </c>
      <c r="J35" s="78">
        <f t="shared" si="8"/>
        <v>0</v>
      </c>
      <c r="K35" s="78">
        <f t="shared" si="8"/>
        <v>0</v>
      </c>
      <c r="L35" s="78">
        <f t="shared" si="8"/>
        <v>0</v>
      </c>
      <c r="M35" s="67">
        <f t="shared" si="8"/>
        <v>0</v>
      </c>
      <c r="N35" s="67">
        <f t="shared" si="8"/>
        <v>0</v>
      </c>
      <c r="O35" s="67">
        <f t="shared" si="8"/>
        <v>0</v>
      </c>
      <c r="P35" s="67">
        <f t="shared" si="8"/>
        <v>0</v>
      </c>
    </row>
    <row r="36" spans="1:37">
      <c r="B36" s="40"/>
      <c r="C36" s="40"/>
      <c r="D36" s="532"/>
      <c r="E36" s="532"/>
      <c r="F36" s="532"/>
      <c r="G36" s="532"/>
      <c r="H36" s="532"/>
      <c r="I36" s="532"/>
      <c r="J36" s="532"/>
      <c r="K36" s="532"/>
      <c r="L36" s="532"/>
      <c r="M36" s="532"/>
      <c r="N36" s="532"/>
      <c r="O36" s="532"/>
      <c r="P36" s="220"/>
    </row>
    <row r="37" spans="1:37" s="554" customFormat="1">
      <c r="A37" s="108" t="s">
        <v>762</v>
      </c>
      <c r="B37" s="585"/>
      <c r="C37" s="40"/>
      <c r="D37" s="532"/>
      <c r="E37" s="532"/>
      <c r="F37" s="532"/>
      <c r="G37" s="532"/>
      <c r="H37" s="532"/>
      <c r="I37" s="532"/>
      <c r="J37" s="532"/>
      <c r="K37" s="532"/>
      <c r="L37" s="532"/>
      <c r="M37" s="532"/>
      <c r="N37" s="532"/>
      <c r="O37" s="532"/>
      <c r="P37" s="220"/>
    </row>
    <row r="38" spans="1:37" s="554" customFormat="1">
      <c r="A38" s="586">
        <v>1</v>
      </c>
      <c r="B38" s="621"/>
      <c r="C38" s="618"/>
      <c r="D38" s="436">
        <v>37568812</v>
      </c>
      <c r="E38" s="436">
        <v>39286006</v>
      </c>
      <c r="F38" s="436">
        <v>36341294</v>
      </c>
      <c r="G38" s="436">
        <v>37705990</v>
      </c>
      <c r="H38" s="436">
        <v>38401122</v>
      </c>
      <c r="I38" s="671">
        <v>37639530</v>
      </c>
      <c r="J38" s="436">
        <v>35055858</v>
      </c>
      <c r="K38" s="436">
        <v>36143840</v>
      </c>
      <c r="L38" s="436">
        <v>30120374</v>
      </c>
      <c r="M38" s="435">
        <v>31359532</v>
      </c>
      <c r="N38" s="435">
        <v>33105658</v>
      </c>
      <c r="O38" s="435">
        <v>37060216</v>
      </c>
      <c r="P38" s="590">
        <f>SUM(D38:O38)</f>
        <v>429788232</v>
      </c>
      <c r="Q38" s="164">
        <f t="shared" ref="Q38:Q39" si="9">Q$2*12-SUMPRODUCT(--($D38:$O38&lt;=Q$2),Q$2-$D38:$O38)</f>
        <v>6000000</v>
      </c>
      <c r="R38" s="164">
        <f>R$2*12-SUM($Q38:Q38)-SUMPRODUCT(--($D38:$O38&lt;=R$2),R$2-$D38:$O38)</f>
        <v>66000000</v>
      </c>
      <c r="S38" s="164">
        <f>S$2*12-SUM($Q38:R38)-SUMPRODUCT(--($D38:$O38&lt;=S$2),S$2-$D38:$O38)</f>
        <v>357788232</v>
      </c>
    </row>
    <row r="39" spans="1:37" s="554" customFormat="1">
      <c r="A39" s="586"/>
      <c r="B39" s="587"/>
      <c r="C39" s="40"/>
      <c r="D39" s="589"/>
      <c r="E39" s="589"/>
      <c r="F39" s="589"/>
      <c r="G39" s="589"/>
      <c r="H39" s="589"/>
      <c r="I39" s="589"/>
      <c r="J39" s="589"/>
      <c r="K39" s="589"/>
      <c r="L39" s="589"/>
      <c r="M39" s="589"/>
      <c r="N39" s="589"/>
      <c r="O39" s="589"/>
      <c r="P39" s="590">
        <f>SUM(D39:O39)</f>
        <v>0</v>
      </c>
      <c r="Q39" s="164">
        <f t="shared" si="9"/>
        <v>0</v>
      </c>
      <c r="R39" s="164">
        <f>R$2*12-SUM($Q39:Q39)-SUMPRODUCT(--($D39:$O39&lt;=R$2),R$2-$D39:$O39)</f>
        <v>0</v>
      </c>
      <c r="S39" s="164">
        <f>S$2*12-SUM($Q39:R39)-SUMPRODUCT(--($D39:$O39&lt;=S$2),S$2-$D39:$O39)</f>
        <v>0</v>
      </c>
    </row>
    <row r="40" spans="1:37" s="554" customFormat="1" ht="13.5" thickBot="1">
      <c r="A40" s="586"/>
      <c r="B40" s="554" t="s">
        <v>763</v>
      </c>
      <c r="C40" s="40"/>
      <c r="D40" s="591"/>
      <c r="E40" s="591"/>
      <c r="F40" s="591"/>
      <c r="G40" s="591"/>
      <c r="H40" s="591"/>
      <c r="I40" s="591"/>
      <c r="J40" s="591"/>
      <c r="K40" s="591"/>
      <c r="L40" s="591"/>
      <c r="M40" s="591"/>
      <c r="N40" s="591"/>
      <c r="O40" s="591"/>
      <c r="P40" s="592">
        <f>SUM(P38:P39)</f>
        <v>429788232</v>
      </c>
      <c r="Q40" s="227">
        <f>SUM(Q38:Q39)</f>
        <v>6000000</v>
      </c>
      <c r="R40" s="227">
        <f>SUM(R38:R39)</f>
        <v>66000000</v>
      </c>
      <c r="S40" s="227">
        <f>SUM(S38:S39)</f>
        <v>357788232</v>
      </c>
    </row>
    <row r="41" spans="1:37" s="554" customFormat="1" ht="13.5" thickTop="1">
      <c r="B41" s="588"/>
      <c r="C41" s="40"/>
      <c r="D41" s="593"/>
      <c r="E41" s="593"/>
      <c r="F41" s="593"/>
      <c r="G41" s="593"/>
      <c r="H41" s="593"/>
      <c r="I41" s="593"/>
      <c r="J41" s="593"/>
      <c r="K41" s="593"/>
      <c r="L41" s="593"/>
      <c r="M41" s="593"/>
      <c r="N41" s="593"/>
      <c r="O41" s="593"/>
      <c r="P41" s="594">
        <f>'REVRUNS 12ME0623'!P341</f>
        <v>428997196</v>
      </c>
    </row>
    <row r="42" spans="1:37">
      <c r="A42" s="554"/>
      <c r="B42" s="380" t="s">
        <v>72</v>
      </c>
      <c r="C42" s="40"/>
      <c r="D42" s="268"/>
      <c r="E42" s="268"/>
      <c r="F42" s="268"/>
      <c r="G42" s="268"/>
      <c r="H42" s="268"/>
      <c r="I42" s="268"/>
      <c r="J42" s="268"/>
      <c r="K42" s="268"/>
      <c r="L42" s="268"/>
      <c r="M42" s="40"/>
      <c r="N42" s="40"/>
      <c r="O42" s="41"/>
    </row>
    <row r="43" spans="1:37" s="554" customFormat="1">
      <c r="B43" s="380"/>
      <c r="C43" s="40"/>
      <c r="D43" s="268"/>
      <c r="E43" s="268"/>
      <c r="F43" s="268"/>
      <c r="G43" s="268"/>
      <c r="H43" s="268"/>
      <c r="I43" s="268"/>
      <c r="J43" s="268"/>
      <c r="K43" s="268"/>
      <c r="L43" s="268"/>
      <c r="M43" s="40"/>
      <c r="N43" s="40"/>
      <c r="O43" s="41"/>
    </row>
    <row r="44" spans="1:37">
      <c r="B44" s="108" t="s">
        <v>363</v>
      </c>
      <c r="D44" s="269">
        <f>D$3</f>
        <v>44773</v>
      </c>
      <c r="E44" s="269">
        <f t="shared" ref="E44:O44" si="10">E$3</f>
        <v>44804</v>
      </c>
      <c r="F44" s="269">
        <f t="shared" si="10"/>
        <v>44834</v>
      </c>
      <c r="G44" s="269">
        <f t="shared" si="10"/>
        <v>44865</v>
      </c>
      <c r="H44" s="269">
        <f t="shared" si="10"/>
        <v>44895</v>
      </c>
      <c r="I44" s="269">
        <f t="shared" si="10"/>
        <v>44926</v>
      </c>
      <c r="J44" s="269">
        <f t="shared" si="10"/>
        <v>44957</v>
      </c>
      <c r="K44" s="269">
        <f t="shared" si="10"/>
        <v>44985</v>
      </c>
      <c r="L44" s="269">
        <f t="shared" si="10"/>
        <v>45016</v>
      </c>
      <c r="M44" s="267">
        <f t="shared" si="10"/>
        <v>45046</v>
      </c>
      <c r="N44" s="267">
        <f t="shared" si="10"/>
        <v>45077</v>
      </c>
      <c r="O44" s="267">
        <f t="shared" si="10"/>
        <v>45107</v>
      </c>
      <c r="P44" s="34" t="s">
        <v>64</v>
      </c>
      <c r="Q44" s="44" t="s">
        <v>394</v>
      </c>
      <c r="R44" s="44" t="s">
        <v>395</v>
      </c>
      <c r="S44" s="44"/>
    </row>
    <row r="45" spans="1:37">
      <c r="A45" s="627">
        <v>1</v>
      </c>
      <c r="B45" s="346">
        <f t="shared" ref="B45:B65" si="11">B4</f>
        <v>0</v>
      </c>
      <c r="C45" s="619"/>
      <c r="D45" s="436">
        <v>6253.4040000000005</v>
      </c>
      <c r="E45" s="435">
        <v>6044.6409999999996</v>
      </c>
      <c r="F45" s="435">
        <v>6425.9250000000002</v>
      </c>
      <c r="G45" s="436">
        <v>6171.9549999999999</v>
      </c>
      <c r="H45" s="436">
        <v>6238.6909999999998</v>
      </c>
      <c r="I45" s="436">
        <v>5378.0680000000002</v>
      </c>
      <c r="J45" s="436">
        <v>5220.0779999999995</v>
      </c>
      <c r="K45" s="436">
        <v>7368.98</v>
      </c>
      <c r="L45" s="436">
        <v>5534.4989999999998</v>
      </c>
      <c r="M45" s="436">
        <v>6006.7280000000001</v>
      </c>
      <c r="N45" s="436">
        <v>5907.7269999999999</v>
      </c>
      <c r="O45" s="436">
        <v>5832.7420000000002</v>
      </c>
      <c r="P45" s="36">
        <f t="shared" ref="P45:P65" si="12">SUM(D45:O45)</f>
        <v>72383.437999999995</v>
      </c>
      <c r="Q45" s="42">
        <f>MAX(D45:O45)</f>
        <v>7368.98</v>
      </c>
      <c r="R45" s="295">
        <f t="shared" ref="R45:R63" si="13">INDEX($D$44:$O$44,MATCH(Q45,$D45:$O45,0))</f>
        <v>44985</v>
      </c>
      <c r="S45" s="34"/>
    </row>
    <row r="46" spans="1:37">
      <c r="A46" s="627">
        <v>2</v>
      </c>
      <c r="B46" s="346">
        <f t="shared" si="11"/>
        <v>0</v>
      </c>
      <c r="C46" s="620"/>
      <c r="D46" s="435">
        <v>5197.5030000000006</v>
      </c>
      <c r="E46" s="435">
        <v>5197.79</v>
      </c>
      <c r="F46" s="435">
        <v>5228.7690000000002</v>
      </c>
      <c r="G46" s="436">
        <v>5131.4480000000003</v>
      </c>
      <c r="H46" s="436">
        <v>5305.3119999999999</v>
      </c>
      <c r="I46" s="436">
        <v>5269.42</v>
      </c>
      <c r="J46" s="436">
        <v>5230.3140000000003</v>
      </c>
      <c r="K46" s="436">
        <v>5286.866</v>
      </c>
      <c r="L46" s="436">
        <v>5195.1469999999999</v>
      </c>
      <c r="M46" s="436">
        <v>5317.1880000000001</v>
      </c>
      <c r="N46" s="436">
        <v>5211.6869999999999</v>
      </c>
      <c r="O46" s="436">
        <v>5191.8130000000001</v>
      </c>
      <c r="P46" s="36">
        <f t="shared" si="12"/>
        <v>62763.256999999998</v>
      </c>
      <c r="Q46" s="42">
        <f>MAX(D46:O46)</f>
        <v>5317.1880000000001</v>
      </c>
      <c r="R46" s="295">
        <f t="shared" si="13"/>
        <v>45046</v>
      </c>
      <c r="S46" s="34"/>
    </row>
    <row r="47" spans="1:37">
      <c r="A47" s="627">
        <v>3</v>
      </c>
      <c r="B47" s="346">
        <f t="shared" si="11"/>
        <v>0</v>
      </c>
      <c r="C47" s="620"/>
      <c r="D47" s="435">
        <v>2450.634</v>
      </c>
      <c r="E47" s="435">
        <v>2302.0369999999998</v>
      </c>
      <c r="F47" s="435">
        <v>2386.9209999999998</v>
      </c>
      <c r="G47" s="436">
        <v>2500.6970000000001</v>
      </c>
      <c r="H47" s="436">
        <v>2671.6120000000001</v>
      </c>
      <c r="I47" s="436">
        <v>2869.8110000000001</v>
      </c>
      <c r="J47" s="436">
        <v>2840.8870000000002</v>
      </c>
      <c r="K47" s="436">
        <v>2852.924</v>
      </c>
      <c r="L47" s="436">
        <v>2795.0830000000001</v>
      </c>
      <c r="M47" s="436">
        <v>2720.5630000000001</v>
      </c>
      <c r="N47" s="436">
        <v>2504.5120000000002</v>
      </c>
      <c r="O47" s="436">
        <v>2451.6529999999998</v>
      </c>
      <c r="P47" s="36">
        <f t="shared" si="12"/>
        <v>31347.333999999999</v>
      </c>
      <c r="Q47" s="42">
        <f t="shared" ref="Q47:Q63" si="14">MAX(D47:O47)</f>
        <v>2869.8110000000001</v>
      </c>
      <c r="R47" s="295">
        <f t="shared" si="13"/>
        <v>44926</v>
      </c>
      <c r="S47" s="34"/>
    </row>
    <row r="48" spans="1:37">
      <c r="A48" s="627">
        <v>4</v>
      </c>
      <c r="B48" s="346">
        <f t="shared" si="11"/>
        <v>0</v>
      </c>
      <c r="C48" s="620"/>
      <c r="D48" s="435">
        <v>3553.3739999999998</v>
      </c>
      <c r="E48" s="435">
        <v>3528.183</v>
      </c>
      <c r="F48" s="435">
        <v>3821.77</v>
      </c>
      <c r="G48" s="436">
        <v>3861.43</v>
      </c>
      <c r="H48" s="436">
        <v>3455.1889999999999</v>
      </c>
      <c r="I48" s="436">
        <v>3812.99</v>
      </c>
      <c r="J48" s="436">
        <v>3902.77</v>
      </c>
      <c r="K48" s="436">
        <v>3759.7910000000002</v>
      </c>
      <c r="L48" s="436">
        <v>4407.049</v>
      </c>
      <c r="M48" s="436">
        <v>4077.7249999999999</v>
      </c>
      <c r="N48" s="436">
        <v>3960.1950000000002</v>
      </c>
      <c r="O48" s="436">
        <v>3969.2469999999998</v>
      </c>
      <c r="P48" s="36">
        <f t="shared" si="12"/>
        <v>46109.713000000003</v>
      </c>
      <c r="Q48" s="42">
        <f t="shared" si="14"/>
        <v>4407.049</v>
      </c>
      <c r="R48" s="295">
        <f t="shared" si="13"/>
        <v>45016</v>
      </c>
      <c r="S48" s="34"/>
    </row>
    <row r="49" spans="1:19">
      <c r="A49" s="627">
        <v>5</v>
      </c>
      <c r="B49" s="346">
        <f t="shared" si="11"/>
        <v>0</v>
      </c>
      <c r="C49" s="620"/>
      <c r="D49" s="435">
        <v>3587.2539999999999</v>
      </c>
      <c r="E49" s="435">
        <v>3600.7820000000002</v>
      </c>
      <c r="F49" s="435">
        <v>3634.7020000000002</v>
      </c>
      <c r="G49" s="436">
        <v>2963.77</v>
      </c>
      <c r="H49" s="436">
        <v>2621.8029999999999</v>
      </c>
      <c r="I49" s="436">
        <v>2699.578</v>
      </c>
      <c r="J49" s="436">
        <v>2708.8620000000001</v>
      </c>
      <c r="K49" s="436">
        <v>2728.8270000000002</v>
      </c>
      <c r="L49" s="436">
        <v>2670.971</v>
      </c>
      <c r="M49" s="436">
        <v>3044.51</v>
      </c>
      <c r="N49" s="436">
        <v>3561.6210000000001</v>
      </c>
      <c r="O49" s="436">
        <v>3569.4</v>
      </c>
      <c r="P49" s="36">
        <f t="shared" si="12"/>
        <v>37392.080000000009</v>
      </c>
      <c r="Q49" s="42">
        <f t="shared" si="14"/>
        <v>3634.7020000000002</v>
      </c>
      <c r="R49" s="295">
        <f t="shared" si="13"/>
        <v>44834</v>
      </c>
      <c r="S49" s="34"/>
    </row>
    <row r="50" spans="1:19">
      <c r="A50" s="627">
        <v>6</v>
      </c>
      <c r="B50" s="346">
        <f t="shared" si="11"/>
        <v>0</v>
      </c>
      <c r="C50" s="620"/>
      <c r="D50" s="435">
        <v>4972.0940000000001</v>
      </c>
      <c r="E50" s="435">
        <v>6121.1669999999995</v>
      </c>
      <c r="F50" s="435">
        <v>6047.6660000000002</v>
      </c>
      <c r="G50" s="436">
        <v>5169.4070000000002</v>
      </c>
      <c r="H50" s="436">
        <v>4810.1239999999998</v>
      </c>
      <c r="I50" s="436">
        <v>4860.66</v>
      </c>
      <c r="J50" s="436">
        <v>4839.57</v>
      </c>
      <c r="K50" s="436">
        <v>5091.3289999999997</v>
      </c>
      <c r="L50" s="436">
        <v>4460.1639999999998</v>
      </c>
      <c r="M50" s="436">
        <v>4657.4920000000002</v>
      </c>
      <c r="N50" s="436">
        <v>5337.5470000000005</v>
      </c>
      <c r="O50" s="436">
        <v>4296.8459999999995</v>
      </c>
      <c r="P50" s="36">
        <f t="shared" si="12"/>
        <v>60664.065999999984</v>
      </c>
      <c r="Q50" s="42">
        <f t="shared" si="14"/>
        <v>6121.1669999999995</v>
      </c>
      <c r="R50" s="295">
        <f t="shared" si="13"/>
        <v>44804</v>
      </c>
      <c r="S50" s="34"/>
    </row>
    <row r="51" spans="1:19">
      <c r="A51" s="627">
        <v>7</v>
      </c>
      <c r="B51" s="346">
        <f t="shared" si="11"/>
        <v>0</v>
      </c>
      <c r="C51" s="620"/>
      <c r="D51" s="435">
        <v>4205.8189999999995</v>
      </c>
      <c r="E51" s="435">
        <v>4207.692</v>
      </c>
      <c r="F51" s="435">
        <v>4156.1310000000003</v>
      </c>
      <c r="G51" s="436">
        <v>3768.1469999999999</v>
      </c>
      <c r="H51" s="436">
        <v>3660.2829999999999</v>
      </c>
      <c r="I51" s="436">
        <v>3839.895</v>
      </c>
      <c r="J51" s="436">
        <v>3882.0889999999999</v>
      </c>
      <c r="K51" s="436">
        <v>3620.393</v>
      </c>
      <c r="L51" s="436">
        <v>3502.4989999999998</v>
      </c>
      <c r="M51" s="436">
        <v>3313.431</v>
      </c>
      <c r="N51" s="436">
        <v>3207.28</v>
      </c>
      <c r="O51" s="436">
        <v>3932.1889999999999</v>
      </c>
      <c r="P51" s="36">
        <f t="shared" si="12"/>
        <v>45295.847999999998</v>
      </c>
      <c r="Q51" s="42">
        <f t="shared" si="14"/>
        <v>4207.692</v>
      </c>
      <c r="R51" s="295">
        <f t="shared" si="13"/>
        <v>44804</v>
      </c>
      <c r="S51" s="34"/>
    </row>
    <row r="52" spans="1:19">
      <c r="A52" s="627">
        <v>8</v>
      </c>
      <c r="B52" s="346">
        <f t="shared" si="11"/>
        <v>0</v>
      </c>
      <c r="C52" s="620"/>
      <c r="D52" s="435">
        <v>4486.1229999999996</v>
      </c>
      <c r="E52" s="435">
        <v>4544.4889999999996</v>
      </c>
      <c r="F52" s="435">
        <v>4381.8580000000002</v>
      </c>
      <c r="G52" s="436">
        <v>4234.585</v>
      </c>
      <c r="H52" s="436">
        <v>4249.4470000000001</v>
      </c>
      <c r="I52" s="436">
        <v>4176.5339999999997</v>
      </c>
      <c r="J52" s="436">
        <v>3947.4210000000003</v>
      </c>
      <c r="K52" s="436">
        <v>3952.5209999999997</v>
      </c>
      <c r="L52" s="436">
        <v>4638.7039999999997</v>
      </c>
      <c r="M52" s="436">
        <v>4015.3249999999998</v>
      </c>
      <c r="N52" s="436">
        <v>4122.4769999999999</v>
      </c>
      <c r="O52" s="436">
        <v>4179.5820000000003</v>
      </c>
      <c r="P52" s="36">
        <f t="shared" si="12"/>
        <v>50929.065999999999</v>
      </c>
      <c r="Q52" s="42">
        <f t="shared" si="14"/>
        <v>4638.7039999999997</v>
      </c>
      <c r="R52" s="295">
        <f t="shared" si="13"/>
        <v>45016</v>
      </c>
      <c r="S52" s="34"/>
    </row>
    <row r="53" spans="1:19">
      <c r="A53" s="627">
        <v>9</v>
      </c>
      <c r="B53" s="346">
        <f t="shared" si="11"/>
        <v>0</v>
      </c>
      <c r="C53" s="620"/>
      <c r="D53" s="435">
        <v>8671.7799999999988</v>
      </c>
      <c r="E53" s="435">
        <v>8668.755000000001</v>
      </c>
      <c r="F53" s="435">
        <v>8603.1110000000008</v>
      </c>
      <c r="G53" s="436">
        <v>8590.6689999999999</v>
      </c>
      <c r="H53" s="436">
        <v>8560.7759999999998</v>
      </c>
      <c r="I53" s="436">
        <v>8205.0780000000013</v>
      </c>
      <c r="J53" s="436">
        <v>8209.5659999999989</v>
      </c>
      <c r="K53" s="436">
        <v>8249.76</v>
      </c>
      <c r="L53" s="436">
        <v>8267.0730000000003</v>
      </c>
      <c r="M53" s="436">
        <v>8326.5590000000011</v>
      </c>
      <c r="N53" s="436">
        <v>8663.7530000000006</v>
      </c>
      <c r="O53" s="436">
        <v>8733.134</v>
      </c>
      <c r="P53" s="36">
        <f t="shared" si="12"/>
        <v>101750.01400000001</v>
      </c>
      <c r="Q53" s="42">
        <f t="shared" si="14"/>
        <v>8733.134</v>
      </c>
      <c r="R53" s="295">
        <f t="shared" si="13"/>
        <v>45107</v>
      </c>
      <c r="S53" s="34"/>
    </row>
    <row r="54" spans="1:19">
      <c r="A54" s="627">
        <v>10</v>
      </c>
      <c r="B54" s="346">
        <f t="shared" si="11"/>
        <v>0</v>
      </c>
      <c r="C54" s="620"/>
      <c r="D54" s="435">
        <v>14251.241</v>
      </c>
      <c r="E54" s="435">
        <v>13849.226000000001</v>
      </c>
      <c r="F54" s="435">
        <v>13731.156000000001</v>
      </c>
      <c r="G54" s="436">
        <v>13644.708000000001</v>
      </c>
      <c r="H54" s="436">
        <v>13593.383</v>
      </c>
      <c r="I54" s="436">
        <v>13635.251</v>
      </c>
      <c r="J54" s="436">
        <v>14050.071</v>
      </c>
      <c r="K54" s="436">
        <v>13910.715</v>
      </c>
      <c r="L54" s="436">
        <v>14091.816999999999</v>
      </c>
      <c r="M54" s="436">
        <v>14110.764999999999</v>
      </c>
      <c r="N54" s="436">
        <v>14569.848</v>
      </c>
      <c r="O54" s="436">
        <v>14451.04</v>
      </c>
      <c r="P54" s="36">
        <f t="shared" si="12"/>
        <v>167889.22099999999</v>
      </c>
      <c r="Q54" s="42">
        <f t="shared" si="14"/>
        <v>14569.848</v>
      </c>
      <c r="R54" s="295">
        <f t="shared" si="13"/>
        <v>45077</v>
      </c>
      <c r="S54" s="34"/>
    </row>
    <row r="55" spans="1:19">
      <c r="A55" s="627">
        <v>11</v>
      </c>
      <c r="B55" s="346">
        <f t="shared" si="11"/>
        <v>0</v>
      </c>
      <c r="C55" s="620"/>
      <c r="D55" s="435">
        <v>7632.5680000000002</v>
      </c>
      <c r="E55" s="435">
        <v>7417.067</v>
      </c>
      <c r="F55" s="435">
        <v>6895.1880000000001</v>
      </c>
      <c r="G55" s="436">
        <v>6040.5030000000006</v>
      </c>
      <c r="H55" s="436">
        <v>4877.5039999999999</v>
      </c>
      <c r="I55" s="436">
        <v>4872.8119999999999</v>
      </c>
      <c r="J55" s="436">
        <v>4714.1909999999998</v>
      </c>
      <c r="K55" s="436">
        <v>4867.8109999999997</v>
      </c>
      <c r="L55" s="436">
        <v>4781.1000000000004</v>
      </c>
      <c r="M55" s="436">
        <v>5558.6869999999999</v>
      </c>
      <c r="N55" s="436">
        <v>6626.616</v>
      </c>
      <c r="O55" s="436">
        <v>6670.15</v>
      </c>
      <c r="P55" s="36">
        <f t="shared" si="12"/>
        <v>70954.197</v>
      </c>
      <c r="Q55" s="42">
        <f t="shared" si="14"/>
        <v>7632.5680000000002</v>
      </c>
      <c r="R55" s="295">
        <f t="shared" si="13"/>
        <v>44773</v>
      </c>
      <c r="S55" s="34"/>
    </row>
    <row r="56" spans="1:19">
      <c r="A56" s="627">
        <v>12</v>
      </c>
      <c r="B56" s="346">
        <f t="shared" si="11"/>
        <v>0</v>
      </c>
      <c r="C56" s="620"/>
      <c r="D56" s="435">
        <v>2772.768</v>
      </c>
      <c r="E56" s="435">
        <v>2742.038</v>
      </c>
      <c r="F56" s="435">
        <v>2562.7959999999998</v>
      </c>
      <c r="G56" s="436">
        <v>2353.748</v>
      </c>
      <c r="H56" s="436">
        <v>1693.0129999999999</v>
      </c>
      <c r="I56" s="436">
        <v>1746.2760000000001</v>
      </c>
      <c r="J56" s="436">
        <v>1730.1110000000001</v>
      </c>
      <c r="K56" s="436">
        <v>1704.529</v>
      </c>
      <c r="L56" s="436">
        <v>1695.845</v>
      </c>
      <c r="M56" s="436">
        <v>1989.5250000000001</v>
      </c>
      <c r="N56" s="436">
        <v>2451.0889999999999</v>
      </c>
      <c r="O56" s="436">
        <v>2495.8440000000001</v>
      </c>
      <c r="P56" s="36">
        <f t="shared" si="12"/>
        <v>25937.582000000006</v>
      </c>
      <c r="Q56" s="42">
        <f t="shared" si="14"/>
        <v>2772.768</v>
      </c>
      <c r="R56" s="295">
        <f t="shared" si="13"/>
        <v>44773</v>
      </c>
      <c r="S56" s="34"/>
    </row>
    <row r="57" spans="1:19">
      <c r="A57" s="627">
        <v>13</v>
      </c>
      <c r="B57" s="346">
        <f t="shared" si="11"/>
        <v>0</v>
      </c>
      <c r="C57" s="620"/>
      <c r="D57" s="435">
        <v>6303.8270000000002</v>
      </c>
      <c r="E57" s="435">
        <v>6510.3240000000005</v>
      </c>
      <c r="F57" s="435">
        <v>6485.8510000000006</v>
      </c>
      <c r="G57" s="436">
        <v>6099.973</v>
      </c>
      <c r="H57" s="436">
        <v>6489.7929999999997</v>
      </c>
      <c r="I57" s="436">
        <v>6612.3510000000006</v>
      </c>
      <c r="J57" s="436">
        <v>6601.6859999999997</v>
      </c>
      <c r="K57" s="436">
        <v>6386.018</v>
      </c>
      <c r="L57" s="436">
        <v>6302.3670000000002</v>
      </c>
      <c r="M57" s="436">
        <v>6245.1379999999999</v>
      </c>
      <c r="N57" s="436">
        <v>6257.2569999999996</v>
      </c>
      <c r="O57" s="436">
        <v>6151.7790000000005</v>
      </c>
      <c r="P57" s="36">
        <f t="shared" si="12"/>
        <v>76446.364000000001</v>
      </c>
      <c r="Q57" s="42">
        <f t="shared" si="14"/>
        <v>6612.3510000000006</v>
      </c>
      <c r="R57" s="295">
        <f t="shared" si="13"/>
        <v>44926</v>
      </c>
      <c r="S57" s="34"/>
    </row>
    <row r="58" spans="1:19">
      <c r="A58" s="627">
        <v>14</v>
      </c>
      <c r="B58" s="346">
        <f t="shared" si="11"/>
        <v>0</v>
      </c>
      <c r="C58" s="620"/>
      <c r="D58" s="435">
        <v>4103.5740000000005</v>
      </c>
      <c r="E58" s="435">
        <v>3947.2649999999999</v>
      </c>
      <c r="F58" s="435">
        <v>3855.3919999999998</v>
      </c>
      <c r="G58" s="436">
        <v>4109.8510000000006</v>
      </c>
      <c r="H58" s="436">
        <v>4709.79</v>
      </c>
      <c r="I58" s="436">
        <v>4331.7870000000003</v>
      </c>
      <c r="J58" s="436">
        <v>4757.68</v>
      </c>
      <c r="K58" s="436">
        <v>4337.3980000000001</v>
      </c>
      <c r="L58" s="436">
        <v>4573.5959999999995</v>
      </c>
      <c r="M58" s="436">
        <v>4440.4290000000001</v>
      </c>
      <c r="N58" s="436">
        <v>4053.6260000000002</v>
      </c>
      <c r="O58" s="436">
        <v>3907.1030000000001</v>
      </c>
      <c r="P58" s="36">
        <f t="shared" si="12"/>
        <v>51127.491000000009</v>
      </c>
      <c r="Q58" s="42">
        <f t="shared" si="14"/>
        <v>4757.68</v>
      </c>
      <c r="R58" s="295">
        <f t="shared" si="13"/>
        <v>44957</v>
      </c>
      <c r="S58" s="34"/>
    </row>
    <row r="59" spans="1:19">
      <c r="A59" s="627">
        <v>15</v>
      </c>
      <c r="B59" s="346">
        <f t="shared" si="11"/>
        <v>0</v>
      </c>
      <c r="C59" s="620"/>
      <c r="D59" s="435">
        <v>3562.7840000000001</v>
      </c>
      <c r="E59" s="435">
        <v>3939.5509999999999</v>
      </c>
      <c r="F59" s="435">
        <v>3942.9610000000002</v>
      </c>
      <c r="G59" s="436">
        <v>3858.2049999999999</v>
      </c>
      <c r="H59" s="436">
        <v>4107.6409999999996</v>
      </c>
      <c r="I59" s="436">
        <v>4022.4139999999998</v>
      </c>
      <c r="J59" s="436">
        <v>3943.49</v>
      </c>
      <c r="K59" s="436">
        <v>4005.6440000000002</v>
      </c>
      <c r="L59" s="436">
        <v>3966.18</v>
      </c>
      <c r="M59" s="436">
        <v>3987.2830000000004</v>
      </c>
      <c r="N59" s="436">
        <v>3678.8249999999998</v>
      </c>
      <c r="O59" s="436">
        <v>3451.277</v>
      </c>
      <c r="P59" s="36">
        <f t="shared" si="12"/>
        <v>46466.255000000005</v>
      </c>
      <c r="Q59" s="42">
        <f t="shared" si="14"/>
        <v>4107.6409999999996</v>
      </c>
      <c r="R59" s="295">
        <f t="shared" si="13"/>
        <v>44895</v>
      </c>
      <c r="S59" s="34"/>
    </row>
    <row r="60" spans="1:19">
      <c r="A60" s="627">
        <v>16</v>
      </c>
      <c r="B60" s="346">
        <f t="shared" si="11"/>
        <v>0</v>
      </c>
      <c r="C60" s="620"/>
      <c r="D60" s="435">
        <v>10403.950000000001</v>
      </c>
      <c r="E60" s="435">
        <v>10312.77</v>
      </c>
      <c r="F60" s="435">
        <v>9675.76</v>
      </c>
      <c r="G60" s="436">
        <v>8129.17</v>
      </c>
      <c r="H60" s="436">
        <v>6467.42</v>
      </c>
      <c r="I60" s="436">
        <v>6365.73</v>
      </c>
      <c r="J60" s="436">
        <v>6425.32</v>
      </c>
      <c r="K60" s="436">
        <v>6451.55</v>
      </c>
      <c r="L60" s="436">
        <v>6792.0599999999995</v>
      </c>
      <c r="M60" s="436">
        <v>6999.07</v>
      </c>
      <c r="N60" s="436">
        <v>9082.1899999999987</v>
      </c>
      <c r="O60" s="436">
        <v>9934.9</v>
      </c>
      <c r="P60" s="36">
        <f t="shared" si="12"/>
        <v>97039.890000000014</v>
      </c>
      <c r="Q60" s="42">
        <f t="shared" si="14"/>
        <v>10403.950000000001</v>
      </c>
      <c r="R60" s="295">
        <f t="shared" si="13"/>
        <v>44773</v>
      </c>
      <c r="S60" s="34"/>
    </row>
    <row r="61" spans="1:19">
      <c r="A61" s="627">
        <v>17</v>
      </c>
      <c r="B61" s="346">
        <f t="shared" si="11"/>
        <v>0</v>
      </c>
      <c r="C61" s="619"/>
      <c r="D61" s="435">
        <v>4429.5209999999997</v>
      </c>
      <c r="E61" s="435">
        <v>4937.6180000000004</v>
      </c>
      <c r="F61" s="435">
        <v>4978.6779999999999</v>
      </c>
      <c r="G61" s="436">
        <v>5327.2289999999994</v>
      </c>
      <c r="H61" s="436">
        <v>5449.6419999999998</v>
      </c>
      <c r="I61" s="436">
        <v>5453.3029999999999</v>
      </c>
      <c r="J61" s="436">
        <v>5262.6450000000004</v>
      </c>
      <c r="K61" s="436">
        <v>5034.09</v>
      </c>
      <c r="L61" s="436">
        <v>4834.3389999999999</v>
      </c>
      <c r="M61" s="436">
        <v>4344.2420000000002</v>
      </c>
      <c r="N61" s="436">
        <v>4276.9629999999997</v>
      </c>
      <c r="O61" s="436">
        <v>4423.22</v>
      </c>
      <c r="P61" s="36">
        <f t="shared" si="12"/>
        <v>58751.489999999991</v>
      </c>
      <c r="Q61" s="42">
        <f t="shared" si="14"/>
        <v>5453.3029999999999</v>
      </c>
      <c r="R61" s="295">
        <f t="shared" si="13"/>
        <v>44926</v>
      </c>
      <c r="S61" s="34"/>
    </row>
    <row r="62" spans="1:19">
      <c r="A62" s="627">
        <v>18</v>
      </c>
      <c r="B62" s="346">
        <f t="shared" si="11"/>
        <v>0</v>
      </c>
      <c r="C62" s="619"/>
      <c r="D62" s="435">
        <v>4115.7650000000003</v>
      </c>
      <c r="E62" s="435">
        <v>4303.9849999999997</v>
      </c>
      <c r="F62" s="435">
        <v>4390.375</v>
      </c>
      <c r="G62" s="436">
        <v>4480.1139999999996</v>
      </c>
      <c r="H62" s="436">
        <v>5126.3590000000004</v>
      </c>
      <c r="I62" s="436">
        <v>6375.92</v>
      </c>
      <c r="J62" s="436">
        <v>4951.8639999999996</v>
      </c>
      <c r="K62" s="436">
        <v>4956.5150000000003</v>
      </c>
      <c r="L62" s="436">
        <v>4906.1589999999997</v>
      </c>
      <c r="M62" s="436">
        <v>4775.43</v>
      </c>
      <c r="N62" s="436">
        <v>5033.1890000000003</v>
      </c>
      <c r="O62" s="436">
        <v>4037.71</v>
      </c>
      <c r="P62" s="36">
        <f t="shared" si="12"/>
        <v>57453.385000000002</v>
      </c>
      <c r="Q62" s="42">
        <f t="shared" si="14"/>
        <v>6375.92</v>
      </c>
      <c r="R62" s="295">
        <f t="shared" si="13"/>
        <v>44926</v>
      </c>
      <c r="S62" s="34"/>
    </row>
    <row r="63" spans="1:19">
      <c r="A63" s="627">
        <v>19</v>
      </c>
      <c r="B63" s="346">
        <f t="shared" si="11"/>
        <v>0</v>
      </c>
      <c r="C63" s="619"/>
      <c r="D63" s="435">
        <v>5893.5659999999998</v>
      </c>
      <c r="E63" s="435">
        <v>6503.223</v>
      </c>
      <c r="F63" s="435">
        <v>6129.442</v>
      </c>
      <c r="G63" s="436">
        <v>6389.1679999999997</v>
      </c>
      <c r="H63" s="436">
        <v>3859.7330000000002</v>
      </c>
      <c r="I63" s="436">
        <v>3904.6179999999999</v>
      </c>
      <c r="J63" s="436">
        <v>3940.5740000000001</v>
      </c>
      <c r="K63" s="436">
        <v>3928.415</v>
      </c>
      <c r="L63" s="436">
        <v>3746.605</v>
      </c>
      <c r="M63" s="436">
        <v>4747.2150000000001</v>
      </c>
      <c r="N63" s="436">
        <v>7247.3950000000004</v>
      </c>
      <c r="O63" s="436">
        <v>5920.1219999999994</v>
      </c>
      <c r="P63" s="36">
        <f t="shared" si="12"/>
        <v>62210.076000000001</v>
      </c>
      <c r="Q63" s="42">
        <f t="shared" si="14"/>
        <v>7247.3950000000004</v>
      </c>
      <c r="R63" s="295">
        <f t="shared" si="13"/>
        <v>45077</v>
      </c>
      <c r="S63" s="34"/>
    </row>
    <row r="64" spans="1:19" s="541" customFormat="1">
      <c r="A64" s="18">
        <v>20</v>
      </c>
      <c r="B64" s="346">
        <f t="shared" si="11"/>
        <v>0</v>
      </c>
      <c r="C64" s="619"/>
      <c r="D64" s="435">
        <v>5691.2119999999995</v>
      </c>
      <c r="E64" s="435">
        <v>5527.4520000000002</v>
      </c>
      <c r="F64" s="435">
        <v>5829.7719999999999</v>
      </c>
      <c r="G64" s="436">
        <v>5293.0929999999998</v>
      </c>
      <c r="H64" s="436">
        <v>5841.799</v>
      </c>
      <c r="I64" s="436">
        <v>5861.1239999999998</v>
      </c>
      <c r="J64" s="436">
        <v>6561.5010000000002</v>
      </c>
      <c r="K64" s="436">
        <v>5609.1759999999995</v>
      </c>
      <c r="L64" s="436">
        <v>6220.0450000000001</v>
      </c>
      <c r="M64" s="436">
        <v>5413.08</v>
      </c>
      <c r="N64" s="436">
        <v>5848.4699999999993</v>
      </c>
      <c r="O64" s="436">
        <v>5970.4560000000001</v>
      </c>
      <c r="P64" s="347">
        <f t="shared" si="12"/>
        <v>69667.180000000008</v>
      </c>
      <c r="Q64" s="422">
        <f t="shared" ref="Q64:Q65" si="15">MAX(D64:O64)</f>
        <v>6561.5010000000002</v>
      </c>
      <c r="R64" s="295">
        <f t="shared" ref="R64:R65" si="16">INDEX($D$44:$O$44,MATCH(Q64,$D64:$O64,0))</f>
        <v>44957</v>
      </c>
      <c r="S64" s="421"/>
    </row>
    <row r="65" spans="1:19" s="541" customFormat="1">
      <c r="A65" s="627">
        <v>21</v>
      </c>
      <c r="B65" s="346">
        <f t="shared" si="11"/>
        <v>0</v>
      </c>
      <c r="C65" s="619"/>
      <c r="D65" s="435">
        <v>3813.3589999999999</v>
      </c>
      <c r="E65" s="435">
        <v>3805.221</v>
      </c>
      <c r="F65" s="435">
        <v>3789.8249999999998</v>
      </c>
      <c r="G65" s="436">
        <v>3742.1059999999998</v>
      </c>
      <c r="H65" s="436">
        <v>4108.7290000000003</v>
      </c>
      <c r="I65" s="436">
        <v>4107.4049999999997</v>
      </c>
      <c r="J65" s="436">
        <v>4040.69</v>
      </c>
      <c r="K65" s="436">
        <v>3938.8249999999998</v>
      </c>
      <c r="L65" s="436">
        <v>4116.9709999999995</v>
      </c>
      <c r="M65" s="436">
        <v>3795.761</v>
      </c>
      <c r="N65" s="436">
        <v>3879.0770000000002</v>
      </c>
      <c r="O65" s="436">
        <v>3994.58</v>
      </c>
      <c r="P65" s="347">
        <f t="shared" si="12"/>
        <v>47132.548999999992</v>
      </c>
      <c r="Q65" s="422">
        <f t="shared" si="15"/>
        <v>4116.9709999999995</v>
      </c>
      <c r="R65" s="295">
        <f t="shared" si="16"/>
        <v>45016</v>
      </c>
      <c r="S65" s="421"/>
    </row>
    <row r="66" spans="1:19">
      <c r="B66" t="s">
        <v>330</v>
      </c>
      <c r="D66" s="270">
        <f t="shared" ref="D66:O66" si="17">SUM(D45:D65)</f>
        <v>116352.12000000001</v>
      </c>
      <c r="E66" s="270">
        <f t="shared" si="17"/>
        <v>118011.27600000001</v>
      </c>
      <c r="F66" s="270">
        <f t="shared" si="17"/>
        <v>116954.04899999998</v>
      </c>
      <c r="G66" s="270">
        <f t="shared" si="17"/>
        <v>111859.976</v>
      </c>
      <c r="H66" s="270">
        <f t="shared" si="17"/>
        <v>107898.04299999999</v>
      </c>
      <c r="I66" s="270">
        <f t="shared" si="17"/>
        <v>108401.02499999999</v>
      </c>
      <c r="J66" s="270">
        <f t="shared" si="17"/>
        <v>107761.38</v>
      </c>
      <c r="K66" s="270">
        <f t="shared" si="17"/>
        <v>108042.077</v>
      </c>
      <c r="L66" s="270">
        <f t="shared" si="17"/>
        <v>107498.27299999999</v>
      </c>
      <c r="M66" s="270">
        <f t="shared" si="17"/>
        <v>107886.14599999999</v>
      </c>
      <c r="N66" s="270">
        <f t="shared" si="17"/>
        <v>115481.34400000001</v>
      </c>
      <c r="O66" s="270">
        <f t="shared" si="17"/>
        <v>113564.78700000001</v>
      </c>
      <c r="P66" s="38">
        <f>IF(ROUND(SUM(P45:P65),0)&lt;&gt;ROUND(SUM(D66:O66),0),#VALUE!,SUM(P45:P65))</f>
        <v>1339710.4960000003</v>
      </c>
    </row>
    <row r="67" spans="1:19">
      <c r="D67" s="271"/>
      <c r="E67" s="271"/>
      <c r="F67" s="271"/>
      <c r="G67" s="271"/>
      <c r="H67" s="271"/>
      <c r="I67" s="271"/>
      <c r="J67" s="271"/>
      <c r="K67" s="271"/>
      <c r="L67" s="271"/>
      <c r="M67" s="45"/>
      <c r="N67" s="45"/>
      <c r="O67" s="45"/>
      <c r="P67" s="45"/>
    </row>
    <row r="68" spans="1:19">
      <c r="D68" s="18"/>
      <c r="E68" s="18"/>
      <c r="F68" s="18"/>
      <c r="G68" s="18"/>
      <c r="H68" s="18"/>
      <c r="I68" s="18"/>
      <c r="J68" s="18"/>
      <c r="K68" s="18"/>
      <c r="L68" s="18"/>
      <c r="P68" s="34" t="str">
        <f>P$2</f>
        <v>12-mo Ended</v>
      </c>
    </row>
    <row r="69" spans="1:19">
      <c r="B69" s="108" t="s">
        <v>364</v>
      </c>
      <c r="D69" s="269">
        <f>D$3</f>
        <v>44773</v>
      </c>
      <c r="E69" s="269">
        <f t="shared" ref="E69:O69" si="18">E$3</f>
        <v>44804</v>
      </c>
      <c r="F69" s="269">
        <f t="shared" si="18"/>
        <v>44834</v>
      </c>
      <c r="G69" s="269">
        <f t="shared" si="18"/>
        <v>44865</v>
      </c>
      <c r="H69" s="269">
        <f t="shared" si="18"/>
        <v>44895</v>
      </c>
      <c r="I69" s="269">
        <f t="shared" si="18"/>
        <v>44926</v>
      </c>
      <c r="J69" s="269">
        <f t="shared" si="18"/>
        <v>44957</v>
      </c>
      <c r="K69" s="269">
        <f t="shared" si="18"/>
        <v>44985</v>
      </c>
      <c r="L69" s="269">
        <f t="shared" si="18"/>
        <v>45016</v>
      </c>
      <c r="M69" s="267">
        <f t="shared" si="18"/>
        <v>45046</v>
      </c>
      <c r="N69" s="267">
        <f t="shared" si="18"/>
        <v>45077</v>
      </c>
      <c r="O69" s="267">
        <f t="shared" si="18"/>
        <v>45107</v>
      </c>
      <c r="P69" s="34" t="s">
        <v>64</v>
      </c>
    </row>
    <row r="70" spans="1:19">
      <c r="A70" s="627">
        <v>1</v>
      </c>
      <c r="B70" s="380">
        <f t="shared" ref="B70:B90" si="19">B45</f>
        <v>0</v>
      </c>
      <c r="C70" s="308"/>
      <c r="D70" s="272">
        <f t="shared" ref="D70:F90" si="20">IF(D45&gt;3000,D45-3000,0)</f>
        <v>3253.4040000000005</v>
      </c>
      <c r="E70" s="272">
        <f t="shared" si="20"/>
        <v>3044.6409999999996</v>
      </c>
      <c r="F70" s="272">
        <f t="shared" si="20"/>
        <v>3425.9250000000002</v>
      </c>
      <c r="G70" s="272">
        <f t="shared" ref="G70:O70" si="21">MAX(0,G45-3000)</f>
        <v>3171.9549999999999</v>
      </c>
      <c r="H70" s="272">
        <f t="shared" si="21"/>
        <v>3238.6909999999998</v>
      </c>
      <c r="I70" s="272">
        <f t="shared" si="21"/>
        <v>2378.0680000000002</v>
      </c>
      <c r="J70" s="272">
        <f t="shared" si="21"/>
        <v>2220.0779999999995</v>
      </c>
      <c r="K70" s="272">
        <f t="shared" si="21"/>
        <v>4368.9799999999996</v>
      </c>
      <c r="L70" s="272">
        <f t="shared" si="21"/>
        <v>2534.4989999999998</v>
      </c>
      <c r="M70" s="272">
        <f t="shared" si="21"/>
        <v>3006.7280000000001</v>
      </c>
      <c r="N70" s="272">
        <f t="shared" si="21"/>
        <v>2907.7269999999999</v>
      </c>
      <c r="O70" s="272">
        <f t="shared" si="21"/>
        <v>2832.7420000000002</v>
      </c>
      <c r="P70" s="36">
        <f t="shared" ref="P70:P88" si="22">SUM(D70:O70)</f>
        <v>36383.438000000002</v>
      </c>
    </row>
    <row r="71" spans="1:19">
      <c r="A71" s="627">
        <v>2</v>
      </c>
      <c r="B71" s="380">
        <f t="shared" si="19"/>
        <v>0</v>
      </c>
      <c r="C71" s="308"/>
      <c r="D71" s="272">
        <f t="shared" si="20"/>
        <v>2197.5030000000006</v>
      </c>
      <c r="E71" s="272">
        <f t="shared" si="20"/>
        <v>2197.79</v>
      </c>
      <c r="F71" s="272">
        <f t="shared" si="20"/>
        <v>2228.7690000000002</v>
      </c>
      <c r="G71" s="272">
        <f t="shared" ref="G71:O71" si="23">MAX(0,G46-3000)</f>
        <v>2131.4480000000003</v>
      </c>
      <c r="H71" s="272">
        <f t="shared" si="23"/>
        <v>2305.3119999999999</v>
      </c>
      <c r="I71" s="272">
        <f t="shared" si="23"/>
        <v>2269.42</v>
      </c>
      <c r="J71" s="272">
        <f t="shared" si="23"/>
        <v>2230.3140000000003</v>
      </c>
      <c r="K71" s="272">
        <f t="shared" si="23"/>
        <v>2286.866</v>
      </c>
      <c r="L71" s="272">
        <f t="shared" si="23"/>
        <v>2195.1469999999999</v>
      </c>
      <c r="M71" s="272">
        <f t="shared" si="23"/>
        <v>2317.1880000000001</v>
      </c>
      <c r="N71" s="272">
        <f t="shared" si="23"/>
        <v>2211.6869999999999</v>
      </c>
      <c r="O71" s="272">
        <f t="shared" si="23"/>
        <v>2191.8130000000001</v>
      </c>
      <c r="P71" s="36">
        <f t="shared" si="22"/>
        <v>26763.257000000005</v>
      </c>
    </row>
    <row r="72" spans="1:19">
      <c r="A72" s="627">
        <v>3</v>
      </c>
      <c r="B72" s="380">
        <f t="shared" si="19"/>
        <v>0</v>
      </c>
      <c r="C72" s="308"/>
      <c r="D72" s="272">
        <f t="shared" si="20"/>
        <v>0</v>
      </c>
      <c r="E72" s="272">
        <f t="shared" si="20"/>
        <v>0</v>
      </c>
      <c r="F72" s="272">
        <f t="shared" si="20"/>
        <v>0</v>
      </c>
      <c r="G72" s="272">
        <f t="shared" ref="G72:O72" si="24">MAX(0,G47-3000)</f>
        <v>0</v>
      </c>
      <c r="H72" s="272">
        <f t="shared" si="24"/>
        <v>0</v>
      </c>
      <c r="I72" s="272">
        <f t="shared" si="24"/>
        <v>0</v>
      </c>
      <c r="J72" s="272">
        <f t="shared" si="24"/>
        <v>0</v>
      </c>
      <c r="K72" s="272">
        <f t="shared" si="24"/>
        <v>0</v>
      </c>
      <c r="L72" s="272">
        <f t="shared" si="24"/>
        <v>0</v>
      </c>
      <c r="M72" s="272">
        <f t="shared" si="24"/>
        <v>0</v>
      </c>
      <c r="N72" s="272">
        <f t="shared" si="24"/>
        <v>0</v>
      </c>
      <c r="O72" s="272">
        <f t="shared" si="24"/>
        <v>0</v>
      </c>
      <c r="P72" s="36">
        <f t="shared" si="22"/>
        <v>0</v>
      </c>
    </row>
    <row r="73" spans="1:19">
      <c r="A73" s="627">
        <v>4</v>
      </c>
      <c r="B73" s="380">
        <f t="shared" si="19"/>
        <v>0</v>
      </c>
      <c r="C73" s="308"/>
      <c r="D73" s="272">
        <f t="shared" si="20"/>
        <v>553.3739999999998</v>
      </c>
      <c r="E73" s="272">
        <f t="shared" si="20"/>
        <v>528.18299999999999</v>
      </c>
      <c r="F73" s="272">
        <f t="shared" si="20"/>
        <v>821.77</v>
      </c>
      <c r="G73" s="272">
        <f t="shared" ref="G73:O73" si="25">MAX(0,G48-3000)</f>
        <v>861.42999999999984</v>
      </c>
      <c r="H73" s="272">
        <f t="shared" si="25"/>
        <v>455.18899999999985</v>
      </c>
      <c r="I73" s="272">
        <f t="shared" si="25"/>
        <v>812.98999999999978</v>
      </c>
      <c r="J73" s="272">
        <f t="shared" si="25"/>
        <v>902.77</v>
      </c>
      <c r="K73" s="272">
        <f t="shared" si="25"/>
        <v>759.79100000000017</v>
      </c>
      <c r="L73" s="272">
        <f t="shared" si="25"/>
        <v>1407.049</v>
      </c>
      <c r="M73" s="272">
        <f t="shared" si="25"/>
        <v>1077.7249999999999</v>
      </c>
      <c r="N73" s="272">
        <f t="shared" si="25"/>
        <v>960.19500000000016</v>
      </c>
      <c r="O73" s="272">
        <f t="shared" si="25"/>
        <v>969.24699999999984</v>
      </c>
      <c r="P73" s="36">
        <f t="shared" si="22"/>
        <v>10109.712999999998</v>
      </c>
    </row>
    <row r="74" spans="1:19">
      <c r="A74" s="627">
        <v>5</v>
      </c>
      <c r="B74" s="380">
        <f t="shared" si="19"/>
        <v>0</v>
      </c>
      <c r="C74" s="308"/>
      <c r="D74" s="272">
        <f t="shared" si="20"/>
        <v>587.25399999999991</v>
      </c>
      <c r="E74" s="272">
        <f t="shared" si="20"/>
        <v>600.78200000000015</v>
      </c>
      <c r="F74" s="272">
        <f t="shared" si="20"/>
        <v>634.70200000000023</v>
      </c>
      <c r="G74" s="272">
        <f t="shared" ref="G74:O74" si="26">MAX(0,G49-3000)</f>
        <v>0</v>
      </c>
      <c r="H74" s="272">
        <f t="shared" si="26"/>
        <v>0</v>
      </c>
      <c r="I74" s="272">
        <f t="shared" si="26"/>
        <v>0</v>
      </c>
      <c r="J74" s="272">
        <f t="shared" si="26"/>
        <v>0</v>
      </c>
      <c r="K74" s="272">
        <f t="shared" si="26"/>
        <v>0</v>
      </c>
      <c r="L74" s="272">
        <f t="shared" si="26"/>
        <v>0</v>
      </c>
      <c r="M74" s="272">
        <f t="shared" si="26"/>
        <v>44.510000000000218</v>
      </c>
      <c r="N74" s="272">
        <f t="shared" si="26"/>
        <v>561.62100000000009</v>
      </c>
      <c r="O74" s="272">
        <f t="shared" si="26"/>
        <v>569.40000000000009</v>
      </c>
      <c r="P74" s="36">
        <f t="shared" si="22"/>
        <v>2998.2690000000007</v>
      </c>
    </row>
    <row r="75" spans="1:19">
      <c r="A75" s="627">
        <v>6</v>
      </c>
      <c r="B75" s="380">
        <f t="shared" si="19"/>
        <v>0</v>
      </c>
      <c r="C75" s="308"/>
      <c r="D75" s="272">
        <f t="shared" si="20"/>
        <v>1972.0940000000001</v>
      </c>
      <c r="E75" s="272">
        <f t="shared" si="20"/>
        <v>3121.1669999999995</v>
      </c>
      <c r="F75" s="272">
        <f t="shared" si="20"/>
        <v>3047.6660000000002</v>
      </c>
      <c r="G75" s="272">
        <f t="shared" ref="G75:O75" si="27">MAX(0,G50-3000)</f>
        <v>2169.4070000000002</v>
      </c>
      <c r="H75" s="272">
        <f t="shared" si="27"/>
        <v>1810.1239999999998</v>
      </c>
      <c r="I75" s="272">
        <f t="shared" si="27"/>
        <v>1860.6599999999999</v>
      </c>
      <c r="J75" s="272">
        <f t="shared" si="27"/>
        <v>1839.5699999999997</v>
      </c>
      <c r="K75" s="272">
        <f t="shared" si="27"/>
        <v>2091.3289999999997</v>
      </c>
      <c r="L75" s="272">
        <f t="shared" si="27"/>
        <v>1460.1639999999998</v>
      </c>
      <c r="M75" s="272">
        <f t="shared" si="27"/>
        <v>1657.4920000000002</v>
      </c>
      <c r="N75" s="272">
        <f t="shared" si="27"/>
        <v>2337.5470000000005</v>
      </c>
      <c r="O75" s="272">
        <f t="shared" si="27"/>
        <v>1296.8459999999995</v>
      </c>
      <c r="P75" s="36">
        <f t="shared" si="22"/>
        <v>24664.065999999999</v>
      </c>
    </row>
    <row r="76" spans="1:19">
      <c r="A76" s="627">
        <v>7</v>
      </c>
      <c r="B76" s="380">
        <f t="shared" si="19"/>
        <v>0</v>
      </c>
      <c r="C76" s="308"/>
      <c r="D76" s="272">
        <f t="shared" si="20"/>
        <v>1205.8189999999995</v>
      </c>
      <c r="E76" s="272">
        <f t="shared" si="20"/>
        <v>1207.692</v>
      </c>
      <c r="F76" s="272">
        <f t="shared" si="20"/>
        <v>1156.1310000000003</v>
      </c>
      <c r="G76" s="272">
        <f t="shared" ref="G76:O76" si="28">MAX(0,G51-3000)</f>
        <v>768.14699999999993</v>
      </c>
      <c r="H76" s="272">
        <f t="shared" si="28"/>
        <v>660.2829999999999</v>
      </c>
      <c r="I76" s="272">
        <f t="shared" si="28"/>
        <v>839.89499999999998</v>
      </c>
      <c r="J76" s="272">
        <f t="shared" si="28"/>
        <v>882.08899999999994</v>
      </c>
      <c r="K76" s="272">
        <f t="shared" si="28"/>
        <v>620.39300000000003</v>
      </c>
      <c r="L76" s="272">
        <f t="shared" si="28"/>
        <v>502.4989999999998</v>
      </c>
      <c r="M76" s="272">
        <f t="shared" si="28"/>
        <v>313.43100000000004</v>
      </c>
      <c r="N76" s="272">
        <f t="shared" si="28"/>
        <v>207.2800000000002</v>
      </c>
      <c r="O76" s="272">
        <f t="shared" si="28"/>
        <v>932.18899999999985</v>
      </c>
      <c r="P76" s="36">
        <f t="shared" si="22"/>
        <v>9295.8480000000018</v>
      </c>
    </row>
    <row r="77" spans="1:19">
      <c r="A77" s="627">
        <v>8</v>
      </c>
      <c r="B77" s="380">
        <f t="shared" si="19"/>
        <v>0</v>
      </c>
      <c r="C77" s="308"/>
      <c r="D77" s="272">
        <f t="shared" si="20"/>
        <v>1486.1229999999996</v>
      </c>
      <c r="E77" s="272">
        <f t="shared" si="20"/>
        <v>1544.4889999999996</v>
      </c>
      <c r="F77" s="272">
        <f t="shared" si="20"/>
        <v>1381.8580000000002</v>
      </c>
      <c r="G77" s="272">
        <f t="shared" ref="G77:O77" si="29">MAX(0,G52-3000)</f>
        <v>1234.585</v>
      </c>
      <c r="H77" s="272">
        <f t="shared" si="29"/>
        <v>1249.4470000000001</v>
      </c>
      <c r="I77" s="272">
        <f t="shared" si="29"/>
        <v>1176.5339999999997</v>
      </c>
      <c r="J77" s="272">
        <f t="shared" si="29"/>
        <v>947.42100000000028</v>
      </c>
      <c r="K77" s="272">
        <f t="shared" si="29"/>
        <v>952.52099999999973</v>
      </c>
      <c r="L77" s="272">
        <f t="shared" si="29"/>
        <v>1638.7039999999997</v>
      </c>
      <c r="M77" s="272">
        <f t="shared" si="29"/>
        <v>1015.3249999999998</v>
      </c>
      <c r="N77" s="272">
        <f t="shared" si="29"/>
        <v>1122.4769999999999</v>
      </c>
      <c r="O77" s="272">
        <f t="shared" si="29"/>
        <v>1179.5820000000003</v>
      </c>
      <c r="P77" s="36">
        <f t="shared" si="22"/>
        <v>14929.065999999997</v>
      </c>
    </row>
    <row r="78" spans="1:19">
      <c r="A78" s="627">
        <v>9</v>
      </c>
      <c r="B78" s="380">
        <f t="shared" si="19"/>
        <v>0</v>
      </c>
      <c r="C78" s="308"/>
      <c r="D78" s="272">
        <f t="shared" si="20"/>
        <v>5671.7799999999988</v>
      </c>
      <c r="E78" s="272">
        <f t="shared" si="20"/>
        <v>5668.755000000001</v>
      </c>
      <c r="F78" s="272">
        <f t="shared" si="20"/>
        <v>5603.1110000000008</v>
      </c>
      <c r="G78" s="272">
        <f t="shared" ref="G78:O78" si="30">MAX(0,G53-3000)</f>
        <v>5590.6689999999999</v>
      </c>
      <c r="H78" s="272">
        <f t="shared" si="30"/>
        <v>5560.7759999999998</v>
      </c>
      <c r="I78" s="272">
        <f t="shared" si="30"/>
        <v>5205.0780000000013</v>
      </c>
      <c r="J78" s="272">
        <f t="shared" si="30"/>
        <v>5209.5659999999989</v>
      </c>
      <c r="K78" s="272">
        <f t="shared" si="30"/>
        <v>5249.76</v>
      </c>
      <c r="L78" s="272">
        <f t="shared" si="30"/>
        <v>5267.0730000000003</v>
      </c>
      <c r="M78" s="272">
        <f t="shared" si="30"/>
        <v>5326.5590000000011</v>
      </c>
      <c r="N78" s="272">
        <f t="shared" si="30"/>
        <v>5663.7530000000006</v>
      </c>
      <c r="O78" s="272">
        <f t="shared" si="30"/>
        <v>5733.134</v>
      </c>
      <c r="P78" s="36">
        <f t="shared" si="22"/>
        <v>65750.01400000001</v>
      </c>
    </row>
    <row r="79" spans="1:19">
      <c r="A79" s="627">
        <v>10</v>
      </c>
      <c r="B79" s="380">
        <f t="shared" si="19"/>
        <v>0</v>
      </c>
      <c r="C79" s="308"/>
      <c r="D79" s="272">
        <f t="shared" si="20"/>
        <v>11251.241</v>
      </c>
      <c r="E79" s="272">
        <f t="shared" si="20"/>
        <v>10849.226000000001</v>
      </c>
      <c r="F79" s="272">
        <f t="shared" si="20"/>
        <v>10731.156000000001</v>
      </c>
      <c r="G79" s="272">
        <f t="shared" ref="G79:O79" si="31">MAX(0,G54-3000)</f>
        <v>10644.708000000001</v>
      </c>
      <c r="H79" s="272">
        <f t="shared" si="31"/>
        <v>10593.383</v>
      </c>
      <c r="I79" s="272">
        <f t="shared" si="31"/>
        <v>10635.251</v>
      </c>
      <c r="J79" s="272">
        <f t="shared" si="31"/>
        <v>11050.071</v>
      </c>
      <c r="K79" s="272">
        <f t="shared" si="31"/>
        <v>10910.715</v>
      </c>
      <c r="L79" s="272">
        <f t="shared" si="31"/>
        <v>11091.816999999999</v>
      </c>
      <c r="M79" s="272">
        <f t="shared" si="31"/>
        <v>11110.764999999999</v>
      </c>
      <c r="N79" s="272">
        <f t="shared" si="31"/>
        <v>11569.848</v>
      </c>
      <c r="O79" s="272">
        <f t="shared" si="31"/>
        <v>11451.04</v>
      </c>
      <c r="P79" s="36">
        <f t="shared" si="22"/>
        <v>131889.22099999999</v>
      </c>
    </row>
    <row r="80" spans="1:19">
      <c r="A80" s="627">
        <v>11</v>
      </c>
      <c r="B80" s="380">
        <f t="shared" si="19"/>
        <v>0</v>
      </c>
      <c r="C80" s="308"/>
      <c r="D80" s="272">
        <f t="shared" si="20"/>
        <v>4632.5680000000002</v>
      </c>
      <c r="E80" s="272">
        <f t="shared" si="20"/>
        <v>4417.067</v>
      </c>
      <c r="F80" s="272">
        <f t="shared" si="20"/>
        <v>3895.1880000000001</v>
      </c>
      <c r="G80" s="272">
        <f t="shared" ref="G80:O80" si="32">MAX(0,G55-3000)</f>
        <v>3040.5030000000006</v>
      </c>
      <c r="H80" s="272">
        <f t="shared" si="32"/>
        <v>1877.5039999999999</v>
      </c>
      <c r="I80" s="272">
        <f t="shared" si="32"/>
        <v>1872.8119999999999</v>
      </c>
      <c r="J80" s="272">
        <f t="shared" si="32"/>
        <v>1714.1909999999998</v>
      </c>
      <c r="K80" s="272">
        <f t="shared" si="32"/>
        <v>1867.8109999999997</v>
      </c>
      <c r="L80" s="272">
        <f t="shared" si="32"/>
        <v>1781.1000000000004</v>
      </c>
      <c r="M80" s="272">
        <f t="shared" si="32"/>
        <v>2558.6869999999999</v>
      </c>
      <c r="N80" s="272">
        <f t="shared" si="32"/>
        <v>3626.616</v>
      </c>
      <c r="O80" s="272">
        <f t="shared" si="32"/>
        <v>3670.1499999999996</v>
      </c>
      <c r="P80" s="36">
        <f t="shared" si="22"/>
        <v>34954.197</v>
      </c>
    </row>
    <row r="81" spans="1:16">
      <c r="A81" s="627">
        <v>12</v>
      </c>
      <c r="B81" s="380">
        <f t="shared" si="19"/>
        <v>0</v>
      </c>
      <c r="C81" s="308"/>
      <c r="D81" s="272">
        <f t="shared" si="20"/>
        <v>0</v>
      </c>
      <c r="E81" s="272">
        <f t="shared" si="20"/>
        <v>0</v>
      </c>
      <c r="F81" s="272">
        <f t="shared" si="20"/>
        <v>0</v>
      </c>
      <c r="G81" s="272">
        <f t="shared" ref="G81:O81" si="33">MAX(0,G56-3000)</f>
        <v>0</v>
      </c>
      <c r="H81" s="272">
        <f t="shared" si="33"/>
        <v>0</v>
      </c>
      <c r="I81" s="272">
        <f t="shared" si="33"/>
        <v>0</v>
      </c>
      <c r="J81" s="272">
        <f t="shared" si="33"/>
        <v>0</v>
      </c>
      <c r="K81" s="272">
        <f t="shared" si="33"/>
        <v>0</v>
      </c>
      <c r="L81" s="272">
        <f t="shared" si="33"/>
        <v>0</v>
      </c>
      <c r="M81" s="272">
        <f t="shared" si="33"/>
        <v>0</v>
      </c>
      <c r="N81" s="272">
        <f t="shared" si="33"/>
        <v>0</v>
      </c>
      <c r="O81" s="272">
        <f t="shared" si="33"/>
        <v>0</v>
      </c>
      <c r="P81" s="36">
        <f t="shared" si="22"/>
        <v>0</v>
      </c>
    </row>
    <row r="82" spans="1:16">
      <c r="A82" s="627">
        <v>13</v>
      </c>
      <c r="B82" s="380">
        <f t="shared" si="19"/>
        <v>0</v>
      </c>
      <c r="C82" s="308"/>
      <c r="D82" s="272">
        <f t="shared" si="20"/>
        <v>3303.8270000000002</v>
      </c>
      <c r="E82" s="272">
        <f t="shared" si="20"/>
        <v>3510.3240000000005</v>
      </c>
      <c r="F82" s="272">
        <f t="shared" si="20"/>
        <v>3485.8510000000006</v>
      </c>
      <c r="G82" s="272">
        <f t="shared" ref="G82:O82" si="34">MAX(0,G57-3000)</f>
        <v>3099.973</v>
      </c>
      <c r="H82" s="272">
        <f t="shared" si="34"/>
        <v>3489.7929999999997</v>
      </c>
      <c r="I82" s="272">
        <f t="shared" si="34"/>
        <v>3612.3510000000006</v>
      </c>
      <c r="J82" s="272">
        <f t="shared" si="34"/>
        <v>3601.6859999999997</v>
      </c>
      <c r="K82" s="272">
        <f t="shared" si="34"/>
        <v>3386.018</v>
      </c>
      <c r="L82" s="272">
        <f t="shared" si="34"/>
        <v>3302.3670000000002</v>
      </c>
      <c r="M82" s="272">
        <f t="shared" si="34"/>
        <v>3245.1379999999999</v>
      </c>
      <c r="N82" s="272">
        <f t="shared" si="34"/>
        <v>3257.2569999999996</v>
      </c>
      <c r="O82" s="272">
        <f t="shared" si="34"/>
        <v>3151.7790000000005</v>
      </c>
      <c r="P82" s="36">
        <f t="shared" si="22"/>
        <v>40446.364000000001</v>
      </c>
    </row>
    <row r="83" spans="1:16">
      <c r="A83" s="627">
        <v>14</v>
      </c>
      <c r="B83" s="380">
        <f t="shared" si="19"/>
        <v>0</v>
      </c>
      <c r="C83" s="308"/>
      <c r="D83" s="272">
        <f t="shared" si="20"/>
        <v>1103.5740000000005</v>
      </c>
      <c r="E83" s="272">
        <f t="shared" si="20"/>
        <v>947.26499999999987</v>
      </c>
      <c r="F83" s="272">
        <f t="shared" si="20"/>
        <v>855.39199999999983</v>
      </c>
      <c r="G83" s="272">
        <f t="shared" ref="G83:O83" si="35">MAX(0,G58-3000)</f>
        <v>1109.8510000000006</v>
      </c>
      <c r="H83" s="272">
        <f t="shared" si="35"/>
        <v>1709.79</v>
      </c>
      <c r="I83" s="272">
        <f t="shared" si="35"/>
        <v>1331.7870000000003</v>
      </c>
      <c r="J83" s="272">
        <f t="shared" si="35"/>
        <v>1757.6800000000003</v>
      </c>
      <c r="K83" s="272">
        <f t="shared" si="35"/>
        <v>1337.3980000000001</v>
      </c>
      <c r="L83" s="272">
        <f t="shared" si="35"/>
        <v>1573.5959999999995</v>
      </c>
      <c r="M83" s="272">
        <f t="shared" si="35"/>
        <v>1440.4290000000001</v>
      </c>
      <c r="N83" s="272">
        <f t="shared" si="35"/>
        <v>1053.6260000000002</v>
      </c>
      <c r="O83" s="272">
        <f t="shared" si="35"/>
        <v>907.10300000000007</v>
      </c>
      <c r="P83" s="36">
        <f t="shared" si="22"/>
        <v>15127.491000000002</v>
      </c>
    </row>
    <row r="84" spans="1:16">
      <c r="A84" s="627">
        <v>15</v>
      </c>
      <c r="B84" s="380">
        <f t="shared" si="19"/>
        <v>0</v>
      </c>
      <c r="C84" s="308"/>
      <c r="D84" s="272">
        <f t="shared" si="20"/>
        <v>562.78400000000011</v>
      </c>
      <c r="E84" s="272">
        <f t="shared" si="20"/>
        <v>939.55099999999993</v>
      </c>
      <c r="F84" s="272">
        <f t="shared" si="20"/>
        <v>942.96100000000024</v>
      </c>
      <c r="G84" s="272">
        <f t="shared" ref="G84:O84" si="36">MAX(0,G59-3000)</f>
        <v>858.20499999999993</v>
      </c>
      <c r="H84" s="272">
        <f t="shared" si="36"/>
        <v>1107.6409999999996</v>
      </c>
      <c r="I84" s="272">
        <f t="shared" si="36"/>
        <v>1022.4139999999998</v>
      </c>
      <c r="J84" s="272">
        <f t="shared" si="36"/>
        <v>943.48999999999978</v>
      </c>
      <c r="K84" s="272">
        <f t="shared" si="36"/>
        <v>1005.6440000000002</v>
      </c>
      <c r="L84" s="272">
        <f t="shared" si="36"/>
        <v>966.17999999999984</v>
      </c>
      <c r="M84" s="272">
        <f t="shared" si="36"/>
        <v>987.28300000000036</v>
      </c>
      <c r="N84" s="272">
        <f t="shared" si="36"/>
        <v>678.82499999999982</v>
      </c>
      <c r="O84" s="272">
        <f t="shared" si="36"/>
        <v>451.27700000000004</v>
      </c>
      <c r="P84" s="36">
        <f t="shared" si="22"/>
        <v>10466.254999999999</v>
      </c>
    </row>
    <row r="85" spans="1:16">
      <c r="A85" s="627">
        <v>16</v>
      </c>
      <c r="B85" s="380">
        <f t="shared" si="19"/>
        <v>0</v>
      </c>
      <c r="C85" s="308"/>
      <c r="D85" s="272">
        <f t="shared" si="20"/>
        <v>7403.9500000000007</v>
      </c>
      <c r="E85" s="272">
        <f t="shared" si="20"/>
        <v>7312.77</v>
      </c>
      <c r="F85" s="272">
        <f t="shared" si="20"/>
        <v>6675.76</v>
      </c>
      <c r="G85" s="272">
        <f t="shared" ref="G85:O85" si="37">MAX(0,G60-3000)</f>
        <v>5129.17</v>
      </c>
      <c r="H85" s="272">
        <f t="shared" si="37"/>
        <v>3467.42</v>
      </c>
      <c r="I85" s="272">
        <f t="shared" si="37"/>
        <v>3365.7299999999996</v>
      </c>
      <c r="J85" s="272">
        <f t="shared" si="37"/>
        <v>3425.3199999999997</v>
      </c>
      <c r="K85" s="272">
        <f t="shared" si="37"/>
        <v>3451.55</v>
      </c>
      <c r="L85" s="272">
        <f t="shared" si="37"/>
        <v>3792.0599999999995</v>
      </c>
      <c r="M85" s="272">
        <f t="shared" si="37"/>
        <v>3999.0699999999997</v>
      </c>
      <c r="N85" s="272">
        <f t="shared" si="37"/>
        <v>6082.1899999999987</v>
      </c>
      <c r="O85" s="272">
        <f t="shared" si="37"/>
        <v>6934.9</v>
      </c>
      <c r="P85" s="36">
        <f t="shared" si="22"/>
        <v>61039.890000000007</v>
      </c>
    </row>
    <row r="86" spans="1:16">
      <c r="A86" s="627">
        <v>17</v>
      </c>
      <c r="B86" s="380">
        <f t="shared" si="19"/>
        <v>0</v>
      </c>
      <c r="C86" s="308"/>
      <c r="D86" s="272">
        <f t="shared" si="20"/>
        <v>1429.5209999999997</v>
      </c>
      <c r="E86" s="272">
        <f t="shared" si="20"/>
        <v>1937.6180000000004</v>
      </c>
      <c r="F86" s="272">
        <f t="shared" si="20"/>
        <v>1978.6779999999999</v>
      </c>
      <c r="G86" s="272">
        <f t="shared" ref="G86:O86" si="38">MAX(0,G61-3000)</f>
        <v>2327.2289999999994</v>
      </c>
      <c r="H86" s="272">
        <f t="shared" si="38"/>
        <v>2449.6419999999998</v>
      </c>
      <c r="I86" s="272">
        <f t="shared" si="38"/>
        <v>2453.3029999999999</v>
      </c>
      <c r="J86" s="272">
        <f t="shared" si="38"/>
        <v>2262.6450000000004</v>
      </c>
      <c r="K86" s="272">
        <f t="shared" si="38"/>
        <v>2034.0900000000001</v>
      </c>
      <c r="L86" s="272">
        <f t="shared" si="38"/>
        <v>1834.3389999999999</v>
      </c>
      <c r="M86" s="272">
        <f t="shared" si="38"/>
        <v>1344.2420000000002</v>
      </c>
      <c r="N86" s="272">
        <f t="shared" si="38"/>
        <v>1276.9629999999997</v>
      </c>
      <c r="O86" s="272">
        <f t="shared" si="38"/>
        <v>1423.2200000000003</v>
      </c>
      <c r="P86" s="36">
        <f t="shared" si="22"/>
        <v>22751.49</v>
      </c>
    </row>
    <row r="87" spans="1:16">
      <c r="A87" s="627">
        <v>18</v>
      </c>
      <c r="B87" s="380">
        <f t="shared" si="19"/>
        <v>0</v>
      </c>
      <c r="C87" s="308"/>
      <c r="D87" s="272">
        <f t="shared" si="20"/>
        <v>1115.7650000000003</v>
      </c>
      <c r="E87" s="272">
        <f t="shared" si="20"/>
        <v>1303.9849999999997</v>
      </c>
      <c r="F87" s="272">
        <f t="shared" si="20"/>
        <v>1390.375</v>
      </c>
      <c r="G87" s="272">
        <f t="shared" ref="G87:O87" si="39">MAX(0,G62-3000)</f>
        <v>1480.1139999999996</v>
      </c>
      <c r="H87" s="272">
        <f t="shared" si="39"/>
        <v>2126.3590000000004</v>
      </c>
      <c r="I87" s="272">
        <f t="shared" si="39"/>
        <v>3375.92</v>
      </c>
      <c r="J87" s="272">
        <f t="shared" si="39"/>
        <v>1951.8639999999996</v>
      </c>
      <c r="K87" s="272">
        <f t="shared" si="39"/>
        <v>1956.5150000000003</v>
      </c>
      <c r="L87" s="272">
        <f t="shared" si="39"/>
        <v>1906.1589999999997</v>
      </c>
      <c r="M87" s="272">
        <f t="shared" si="39"/>
        <v>1775.4300000000003</v>
      </c>
      <c r="N87" s="272">
        <f t="shared" si="39"/>
        <v>2033.1890000000003</v>
      </c>
      <c r="O87" s="272">
        <f t="shared" si="39"/>
        <v>1037.71</v>
      </c>
      <c r="P87" s="36">
        <f t="shared" si="22"/>
        <v>21453.385000000002</v>
      </c>
    </row>
    <row r="88" spans="1:16">
      <c r="A88" s="627">
        <v>19</v>
      </c>
      <c r="B88" s="380">
        <f t="shared" si="19"/>
        <v>0</v>
      </c>
      <c r="C88" s="308"/>
      <c r="D88" s="272">
        <f t="shared" si="20"/>
        <v>2893.5659999999998</v>
      </c>
      <c r="E88" s="272">
        <f t="shared" si="20"/>
        <v>3503.223</v>
      </c>
      <c r="F88" s="272">
        <f t="shared" si="20"/>
        <v>3129.442</v>
      </c>
      <c r="G88" s="272">
        <f t="shared" ref="G88:O88" si="40">MAX(0,G63-3000)</f>
        <v>3389.1679999999997</v>
      </c>
      <c r="H88" s="272">
        <f t="shared" si="40"/>
        <v>859.73300000000017</v>
      </c>
      <c r="I88" s="272">
        <f t="shared" si="40"/>
        <v>904.61799999999994</v>
      </c>
      <c r="J88" s="272">
        <f t="shared" si="40"/>
        <v>940.57400000000007</v>
      </c>
      <c r="K88" s="272">
        <f t="shared" si="40"/>
        <v>928.41499999999996</v>
      </c>
      <c r="L88" s="272">
        <f t="shared" si="40"/>
        <v>746.60500000000002</v>
      </c>
      <c r="M88" s="272">
        <f t="shared" si="40"/>
        <v>1747.2150000000001</v>
      </c>
      <c r="N88" s="272">
        <f t="shared" si="40"/>
        <v>4247.3950000000004</v>
      </c>
      <c r="O88" s="272">
        <f t="shared" si="40"/>
        <v>2920.1219999999994</v>
      </c>
      <c r="P88" s="36">
        <f t="shared" si="22"/>
        <v>26210.076000000001</v>
      </c>
    </row>
    <row r="89" spans="1:16" s="541" customFormat="1">
      <c r="A89" s="18">
        <v>20</v>
      </c>
      <c r="B89" s="380">
        <f t="shared" si="19"/>
        <v>0</v>
      </c>
      <c r="C89" s="308"/>
      <c r="D89" s="272">
        <f t="shared" si="20"/>
        <v>2691.2119999999995</v>
      </c>
      <c r="E89" s="272">
        <f t="shared" si="20"/>
        <v>2527.4520000000002</v>
      </c>
      <c r="F89" s="272">
        <f t="shared" si="20"/>
        <v>2829.7719999999999</v>
      </c>
      <c r="G89" s="272">
        <f t="shared" ref="G89:O89" si="41">MAX(0,G64-3000)</f>
        <v>2293.0929999999998</v>
      </c>
      <c r="H89" s="272">
        <f t="shared" si="41"/>
        <v>2841.799</v>
      </c>
      <c r="I89" s="272">
        <f t="shared" si="41"/>
        <v>2861.1239999999998</v>
      </c>
      <c r="J89" s="272">
        <f t="shared" si="41"/>
        <v>3561.5010000000002</v>
      </c>
      <c r="K89" s="272">
        <f t="shared" si="41"/>
        <v>2609.1759999999995</v>
      </c>
      <c r="L89" s="272">
        <f t="shared" si="41"/>
        <v>3220.0450000000001</v>
      </c>
      <c r="M89" s="272">
        <f t="shared" si="41"/>
        <v>2413.08</v>
      </c>
      <c r="N89" s="272">
        <f t="shared" si="41"/>
        <v>2848.4699999999993</v>
      </c>
      <c r="O89" s="272">
        <f t="shared" si="41"/>
        <v>2970.4560000000001</v>
      </c>
      <c r="P89" s="347">
        <f t="shared" ref="P89:P90" si="42">SUM(D89:O89)</f>
        <v>33667.18</v>
      </c>
    </row>
    <row r="90" spans="1:16" s="541" customFormat="1">
      <c r="A90" s="627">
        <v>21</v>
      </c>
      <c r="B90" s="380">
        <f t="shared" si="19"/>
        <v>0</v>
      </c>
      <c r="C90" s="308"/>
      <c r="D90" s="272">
        <f t="shared" si="20"/>
        <v>813.35899999999992</v>
      </c>
      <c r="E90" s="272">
        <f t="shared" si="20"/>
        <v>805.221</v>
      </c>
      <c r="F90" s="272">
        <f t="shared" si="20"/>
        <v>789.82499999999982</v>
      </c>
      <c r="G90" s="272">
        <f t="shared" ref="G90:O90" si="43">MAX(0,G65-3000)</f>
        <v>742.10599999999977</v>
      </c>
      <c r="H90" s="272">
        <f t="shared" si="43"/>
        <v>1108.7290000000003</v>
      </c>
      <c r="I90" s="272">
        <f t="shared" si="43"/>
        <v>1107.4049999999997</v>
      </c>
      <c r="J90" s="272">
        <f t="shared" si="43"/>
        <v>1040.69</v>
      </c>
      <c r="K90" s="272">
        <f t="shared" si="43"/>
        <v>938.82499999999982</v>
      </c>
      <c r="L90" s="272">
        <f t="shared" si="43"/>
        <v>1116.9709999999995</v>
      </c>
      <c r="M90" s="272">
        <f t="shared" si="43"/>
        <v>795.76099999999997</v>
      </c>
      <c r="N90" s="272">
        <f t="shared" si="43"/>
        <v>879.07700000000023</v>
      </c>
      <c r="O90" s="272">
        <f t="shared" si="43"/>
        <v>994.57999999999993</v>
      </c>
      <c r="P90" s="347">
        <f t="shared" si="42"/>
        <v>11132.548999999997</v>
      </c>
    </row>
    <row r="91" spans="1:16">
      <c r="B91" t="s">
        <v>330</v>
      </c>
      <c r="C91" s="35"/>
      <c r="D91" s="273">
        <f t="shared" ref="D91:O91" si="44">SUM(D70:D90)</f>
        <v>54128.717999999993</v>
      </c>
      <c r="E91" s="273">
        <f t="shared" si="44"/>
        <v>55967.201000000001</v>
      </c>
      <c r="F91" s="273">
        <f t="shared" si="44"/>
        <v>55004.332000000009</v>
      </c>
      <c r="G91" s="273">
        <f t="shared" si="44"/>
        <v>50041.761000000006</v>
      </c>
      <c r="H91" s="273">
        <f t="shared" si="44"/>
        <v>46911.615000000005</v>
      </c>
      <c r="I91" s="273">
        <f t="shared" si="44"/>
        <v>47085.36</v>
      </c>
      <c r="J91" s="273">
        <f t="shared" si="44"/>
        <v>46481.520000000004</v>
      </c>
      <c r="K91" s="273">
        <f t="shared" si="44"/>
        <v>46755.797000000006</v>
      </c>
      <c r="L91" s="273">
        <f t="shared" si="44"/>
        <v>46336.373999999989</v>
      </c>
      <c r="M91" s="273">
        <f t="shared" si="44"/>
        <v>46176.058000000005</v>
      </c>
      <c r="N91" s="273">
        <f t="shared" si="44"/>
        <v>53525.743000000009</v>
      </c>
      <c r="O91" s="273">
        <f t="shared" si="44"/>
        <v>51617.290000000015</v>
      </c>
      <c r="P91" s="37">
        <f>IF(ROUND(SUM(P70:P90),0)&lt;&gt;ROUND(SUM(D91:O91),0),#VALUE!,SUM(P70:P90))</f>
        <v>600031.76899999997</v>
      </c>
    </row>
    <row r="92" spans="1:16">
      <c r="C92" s="35"/>
      <c r="D92" s="272"/>
      <c r="E92" s="272"/>
      <c r="F92" s="272"/>
      <c r="G92" s="272"/>
      <c r="H92" s="272"/>
      <c r="I92" s="272"/>
      <c r="J92" s="272"/>
      <c r="K92" s="272"/>
      <c r="L92" s="272"/>
      <c r="M92" s="36"/>
      <c r="N92" s="36"/>
      <c r="O92" s="36"/>
      <c r="P92" s="36"/>
    </row>
    <row r="93" spans="1:16" s="556" customFormat="1">
      <c r="A93" s="598" t="s">
        <v>764</v>
      </c>
      <c r="B93" s="586"/>
      <c r="D93" s="596"/>
      <c r="E93" s="596"/>
      <c r="F93" s="596"/>
      <c r="G93" s="596"/>
      <c r="H93" s="596"/>
      <c r="I93" s="596"/>
      <c r="J93" s="596"/>
      <c r="K93" s="596"/>
      <c r="L93" s="596"/>
      <c r="M93" s="597"/>
      <c r="N93" s="597"/>
      <c r="O93" s="597"/>
      <c r="P93" s="597"/>
    </row>
    <row r="94" spans="1:16" s="556" customFormat="1">
      <c r="A94" s="586"/>
      <c r="B94" s="651" t="s">
        <v>765</v>
      </c>
      <c r="D94" s="435">
        <v>59114.98</v>
      </c>
      <c r="E94" s="435">
        <v>64579.57</v>
      </c>
      <c r="F94" s="435">
        <v>62205.78</v>
      </c>
      <c r="G94" s="436">
        <v>63460.71</v>
      </c>
      <c r="H94" s="436">
        <v>62142.92</v>
      </c>
      <c r="I94" s="436">
        <v>62496.81</v>
      </c>
      <c r="J94" s="436">
        <v>61974.77</v>
      </c>
      <c r="K94" s="436">
        <v>63570.66</v>
      </c>
      <c r="L94" s="436">
        <v>62951.45</v>
      </c>
      <c r="M94" s="436">
        <v>60309.31</v>
      </c>
      <c r="N94" s="436">
        <v>61089.11</v>
      </c>
      <c r="O94" s="436">
        <v>61751.77</v>
      </c>
      <c r="P94" s="590">
        <f>SUM(D94:O94)</f>
        <v>745647.84</v>
      </c>
    </row>
    <row r="95" spans="1:16" s="556" customFormat="1">
      <c r="A95" s="586"/>
      <c r="B95" s="586" t="s">
        <v>772</v>
      </c>
      <c r="D95" s="599">
        <f t="shared" ref="D95:O95" si="45">MAX(0,D94-3000)</f>
        <v>56114.98</v>
      </c>
      <c r="E95" s="599">
        <f t="shared" si="45"/>
        <v>61579.57</v>
      </c>
      <c r="F95" s="599">
        <f t="shared" si="45"/>
        <v>59205.78</v>
      </c>
      <c r="G95" s="599">
        <f t="shared" si="45"/>
        <v>60460.71</v>
      </c>
      <c r="H95" s="599">
        <f t="shared" si="45"/>
        <v>59142.92</v>
      </c>
      <c r="I95" s="599">
        <f t="shared" si="45"/>
        <v>59496.81</v>
      </c>
      <c r="J95" s="599">
        <f t="shared" si="45"/>
        <v>58974.77</v>
      </c>
      <c r="K95" s="599">
        <f t="shared" si="45"/>
        <v>60570.66</v>
      </c>
      <c r="L95" s="599">
        <f t="shared" si="45"/>
        <v>59951.45</v>
      </c>
      <c r="M95" s="599">
        <f t="shared" si="45"/>
        <v>57309.31</v>
      </c>
      <c r="N95" s="599">
        <f t="shared" si="45"/>
        <v>58089.11</v>
      </c>
      <c r="O95" s="599">
        <f t="shared" si="45"/>
        <v>58751.77</v>
      </c>
      <c r="P95" s="599">
        <f>SUM(D95:O95)</f>
        <v>709647.84</v>
      </c>
    </row>
    <row r="96" spans="1:16">
      <c r="D96" s="274"/>
      <c r="E96" s="274"/>
      <c r="F96" s="274"/>
      <c r="G96" s="274"/>
      <c r="H96" s="274"/>
      <c r="I96" s="274"/>
      <c r="J96" s="274"/>
      <c r="K96" s="274"/>
      <c r="L96" s="274"/>
      <c r="M96" s="46"/>
      <c r="N96" s="46"/>
      <c r="O96" s="46"/>
      <c r="P96" s="46"/>
    </row>
    <row r="97" spans="1:16">
      <c r="D97" s="274"/>
      <c r="E97" s="274"/>
      <c r="F97" s="274"/>
      <c r="G97" s="274"/>
      <c r="H97" s="274"/>
      <c r="I97" s="274"/>
      <c r="J97" s="274"/>
      <c r="K97" s="274"/>
      <c r="L97" s="274"/>
      <c r="M97" s="46"/>
      <c r="N97" s="46"/>
      <c r="O97" s="46"/>
      <c r="P97" s="45"/>
    </row>
    <row r="98" spans="1:16">
      <c r="A98" s="646" t="s">
        <v>777</v>
      </c>
      <c r="B98" s="646"/>
      <c r="C98" s="647"/>
      <c r="D98" s="18"/>
      <c r="E98" s="18"/>
      <c r="F98" s="18"/>
      <c r="G98" s="18"/>
      <c r="H98" s="18"/>
      <c r="I98" s="18"/>
      <c r="J98" s="18"/>
      <c r="K98" s="18"/>
      <c r="L98" s="18"/>
    </row>
    <row r="99" spans="1:16">
      <c r="A99" s="647"/>
      <c r="B99" s="647" t="s">
        <v>75</v>
      </c>
      <c r="C99" s="673">
        <v>-0.2</v>
      </c>
      <c r="D99" s="275">
        <f>(D66-D62-D63-D64)*$C99</f>
        <v>-20130.315400000003</v>
      </c>
      <c r="E99" s="378">
        <f t="shared" ref="E99:O99" si="46">(E66-E62-E63-E64)*$C99</f>
        <v>-20335.323200000003</v>
      </c>
      <c r="F99" s="378">
        <f t="shared" si="46"/>
        <v>-20120.892</v>
      </c>
      <c r="G99" s="378">
        <f t="shared" si="46"/>
        <v>-19139.520199999999</v>
      </c>
      <c r="H99" s="378">
        <f t="shared" si="46"/>
        <v>-18614.0304</v>
      </c>
      <c r="I99" s="378">
        <f t="shared" si="46"/>
        <v>-18451.872599999999</v>
      </c>
      <c r="J99" s="378">
        <f t="shared" si="46"/>
        <v>-18461.488200000003</v>
      </c>
      <c r="K99" s="378">
        <f t="shared" si="46"/>
        <v>-18709.594200000003</v>
      </c>
      <c r="L99" s="378">
        <f t="shared" si="46"/>
        <v>-18525.092799999999</v>
      </c>
      <c r="M99" s="378">
        <f t="shared" si="46"/>
        <v>-18590.084199999998</v>
      </c>
      <c r="N99" s="378">
        <f t="shared" si="46"/>
        <v>-19470.458000000002</v>
      </c>
      <c r="O99" s="378">
        <f t="shared" si="46"/>
        <v>-19527.299800000001</v>
      </c>
      <c r="P99" s="49">
        <f>SUM(D99:O99)</f>
        <v>-230075.97100000002</v>
      </c>
    </row>
    <row r="100" spans="1:16">
      <c r="A100" s="647"/>
      <c r="B100" s="647" t="s">
        <v>76</v>
      </c>
      <c r="C100" s="673">
        <f>-1.52</f>
        <v>-1.52</v>
      </c>
      <c r="D100" s="275">
        <v>0</v>
      </c>
      <c r="E100" s="378">
        <v>0</v>
      </c>
      <c r="F100" s="378">
        <v>0</v>
      </c>
      <c r="G100" s="378">
        <v>0</v>
      </c>
      <c r="H100" s="378">
        <v>0</v>
      </c>
      <c r="I100" s="378">
        <v>0</v>
      </c>
      <c r="J100" s="378">
        <v>0</v>
      </c>
      <c r="K100" s="378">
        <v>0</v>
      </c>
      <c r="L100" s="378">
        <v>0</v>
      </c>
      <c r="M100" s="378">
        <v>0</v>
      </c>
      <c r="N100" s="378">
        <v>0</v>
      </c>
      <c r="O100" s="378">
        <v>0</v>
      </c>
      <c r="P100" s="49">
        <f>SUM(D100:O100)</f>
        <v>0</v>
      </c>
    </row>
    <row r="101" spans="1:16">
      <c r="A101" s="647"/>
      <c r="B101" s="647" t="s">
        <v>77</v>
      </c>
      <c r="C101" s="673">
        <v>-1.93</v>
      </c>
      <c r="D101" s="275">
        <v>0</v>
      </c>
      <c r="E101" s="378">
        <v>0</v>
      </c>
      <c r="F101" s="378">
        <v>0</v>
      </c>
      <c r="G101" s="378">
        <v>0</v>
      </c>
      <c r="H101" s="378">
        <v>0</v>
      </c>
      <c r="I101" s="378">
        <v>0</v>
      </c>
      <c r="J101" s="378">
        <v>0</v>
      </c>
      <c r="K101" s="378">
        <v>0</v>
      </c>
      <c r="L101" s="378">
        <v>0</v>
      </c>
      <c r="M101" s="378">
        <v>0</v>
      </c>
      <c r="N101" s="378">
        <v>0</v>
      </c>
      <c r="O101" s="378">
        <v>0</v>
      </c>
      <c r="P101" s="49">
        <f>SUM(D101:O101)</f>
        <v>0</v>
      </c>
    </row>
    <row r="102" spans="1:16">
      <c r="A102" s="647"/>
      <c r="B102" s="647"/>
      <c r="C102" s="647"/>
      <c r="D102" s="276">
        <f t="shared" ref="D102:P102" si="47">SUM(D99:D101)</f>
        <v>-20130.315400000003</v>
      </c>
      <c r="E102" s="276">
        <f t="shared" si="47"/>
        <v>-20335.323200000003</v>
      </c>
      <c r="F102" s="276">
        <f t="shared" si="47"/>
        <v>-20120.892</v>
      </c>
      <c r="G102" s="276">
        <f t="shared" si="47"/>
        <v>-19139.520199999999</v>
      </c>
      <c r="H102" s="276">
        <f t="shared" si="47"/>
        <v>-18614.0304</v>
      </c>
      <c r="I102" s="276">
        <f t="shared" si="47"/>
        <v>-18451.872599999999</v>
      </c>
      <c r="J102" s="276">
        <f t="shared" si="47"/>
        <v>-18461.488200000003</v>
      </c>
      <c r="K102" s="276">
        <f t="shared" si="47"/>
        <v>-18709.594200000003</v>
      </c>
      <c r="L102" s="276">
        <f t="shared" si="47"/>
        <v>-18525.092799999999</v>
      </c>
      <c r="M102" s="50">
        <f t="shared" si="47"/>
        <v>-18590.084199999998</v>
      </c>
      <c r="N102" s="50">
        <f t="shared" si="47"/>
        <v>-19470.458000000002</v>
      </c>
      <c r="O102" s="50">
        <f t="shared" si="47"/>
        <v>-19527.299800000001</v>
      </c>
      <c r="P102" s="50">
        <f t="shared" si="47"/>
        <v>-230075.97100000002</v>
      </c>
    </row>
    <row r="103" spans="1:16" s="534" customFormat="1">
      <c r="A103" s="646" t="s">
        <v>778</v>
      </c>
      <c r="B103" s="646"/>
      <c r="C103" s="647"/>
      <c r="D103" s="18"/>
      <c r="E103" s="18"/>
      <c r="F103" s="18"/>
      <c r="G103" s="18"/>
      <c r="H103" s="18"/>
      <c r="I103" s="18"/>
      <c r="J103" s="18"/>
      <c r="K103" s="18"/>
      <c r="L103" s="18"/>
    </row>
    <row r="104" spans="1:16" s="534" customFormat="1">
      <c r="A104" s="647"/>
      <c r="B104" s="647" t="s">
        <v>75</v>
      </c>
      <c r="C104" s="673">
        <v>-0.2</v>
      </c>
      <c r="D104" s="378">
        <f>(D66-D62-D63-D64)*$C104</f>
        <v>-20130.315400000003</v>
      </c>
      <c r="E104" s="378">
        <f t="shared" ref="E104:O104" si="48">(E66-E62-E63-E64)*$C104</f>
        <v>-20335.323200000003</v>
      </c>
      <c r="F104" s="378">
        <f t="shared" si="48"/>
        <v>-20120.892</v>
      </c>
      <c r="G104" s="378">
        <f t="shared" si="48"/>
        <v>-19139.520199999999</v>
      </c>
      <c r="H104" s="378">
        <f t="shared" si="48"/>
        <v>-18614.0304</v>
      </c>
      <c r="I104" s="378">
        <f t="shared" si="48"/>
        <v>-18451.872599999999</v>
      </c>
      <c r="J104" s="378">
        <f t="shared" si="48"/>
        <v>-18461.488200000003</v>
      </c>
      <c r="K104" s="378">
        <f t="shared" si="48"/>
        <v>-18709.594200000003</v>
      </c>
      <c r="L104" s="378">
        <f t="shared" si="48"/>
        <v>-18525.092799999999</v>
      </c>
      <c r="M104" s="378">
        <f t="shared" si="48"/>
        <v>-18590.084199999998</v>
      </c>
      <c r="N104" s="378">
        <f t="shared" si="48"/>
        <v>-19470.458000000002</v>
      </c>
      <c r="O104" s="378">
        <f t="shared" si="48"/>
        <v>-19527.299800000001</v>
      </c>
      <c r="P104" s="49">
        <f>SUM(D104:O104)</f>
        <v>-230075.97100000002</v>
      </c>
    </row>
    <row r="105" spans="1:16" s="534" customFormat="1">
      <c r="A105" s="647"/>
      <c r="B105" s="647" t="s">
        <v>76</v>
      </c>
      <c r="C105" s="673">
        <v>-1.52</v>
      </c>
      <c r="D105" s="378">
        <v>0</v>
      </c>
      <c r="E105" s="378">
        <v>0</v>
      </c>
      <c r="F105" s="378">
        <v>0</v>
      </c>
      <c r="G105" s="378">
        <v>0</v>
      </c>
      <c r="H105" s="378">
        <v>0</v>
      </c>
      <c r="I105" s="378">
        <v>0</v>
      </c>
      <c r="J105" s="378">
        <v>0</v>
      </c>
      <c r="K105" s="378">
        <v>0</v>
      </c>
      <c r="L105" s="378">
        <v>0</v>
      </c>
      <c r="M105" s="378">
        <v>0</v>
      </c>
      <c r="N105" s="378">
        <v>0</v>
      </c>
      <c r="O105" s="378">
        <v>0</v>
      </c>
      <c r="P105" s="49">
        <f>SUM(D105:O105)</f>
        <v>0</v>
      </c>
    </row>
    <row r="106" spans="1:16" s="534" customFormat="1">
      <c r="A106" s="647"/>
      <c r="B106" s="647" t="s">
        <v>77</v>
      </c>
      <c r="C106" s="673">
        <v>-1.93</v>
      </c>
      <c r="D106" s="378">
        <v>0</v>
      </c>
      <c r="E106" s="378">
        <v>0</v>
      </c>
      <c r="F106" s="378">
        <v>0</v>
      </c>
      <c r="G106" s="378">
        <v>0</v>
      </c>
      <c r="H106" s="378">
        <v>0</v>
      </c>
      <c r="I106" s="378">
        <v>0</v>
      </c>
      <c r="J106" s="378">
        <v>0</v>
      </c>
      <c r="K106" s="378">
        <v>0</v>
      </c>
      <c r="L106" s="378">
        <v>0</v>
      </c>
      <c r="M106" s="378">
        <v>0</v>
      </c>
      <c r="N106" s="378">
        <v>0</v>
      </c>
      <c r="O106" s="378">
        <v>0</v>
      </c>
      <c r="P106" s="49">
        <f>SUM(D106:O106)</f>
        <v>0</v>
      </c>
    </row>
    <row r="107" spans="1:16" s="534" customFormat="1">
      <c r="A107" s="647"/>
      <c r="B107" s="647"/>
      <c r="C107" s="647"/>
      <c r="D107" s="276">
        <f t="shared" ref="D107:P107" si="49">SUM(D104:D106)</f>
        <v>-20130.315400000003</v>
      </c>
      <c r="E107" s="276">
        <f t="shared" si="49"/>
        <v>-20335.323200000003</v>
      </c>
      <c r="F107" s="276">
        <f t="shared" si="49"/>
        <v>-20120.892</v>
      </c>
      <c r="G107" s="276">
        <f t="shared" si="49"/>
        <v>-19139.520199999999</v>
      </c>
      <c r="H107" s="276">
        <f t="shared" si="49"/>
        <v>-18614.0304</v>
      </c>
      <c r="I107" s="276">
        <f t="shared" si="49"/>
        <v>-18451.872599999999</v>
      </c>
      <c r="J107" s="276">
        <f t="shared" si="49"/>
        <v>-18461.488200000003</v>
      </c>
      <c r="K107" s="276">
        <f t="shared" si="49"/>
        <v>-18709.594200000003</v>
      </c>
      <c r="L107" s="276">
        <f t="shared" si="49"/>
        <v>-18525.092799999999</v>
      </c>
      <c r="M107" s="50">
        <f t="shared" si="49"/>
        <v>-18590.084199999998</v>
      </c>
      <c r="N107" s="50">
        <f t="shared" si="49"/>
        <v>-19470.458000000002</v>
      </c>
      <c r="O107" s="50">
        <f t="shared" si="49"/>
        <v>-19527.299800000001</v>
      </c>
      <c r="P107" s="50">
        <f t="shared" si="49"/>
        <v>-230075.97100000002</v>
      </c>
    </row>
    <row r="108" spans="1:16" s="556" customFormat="1">
      <c r="A108" s="647"/>
      <c r="B108" s="647"/>
      <c r="C108" s="647"/>
      <c r="D108" s="596"/>
      <c r="E108" s="596"/>
      <c r="F108" s="596"/>
      <c r="G108" s="596"/>
      <c r="H108" s="596"/>
      <c r="I108" s="596"/>
      <c r="J108" s="596"/>
      <c r="K108" s="596"/>
      <c r="L108" s="596"/>
      <c r="M108" s="597"/>
      <c r="N108" s="597"/>
      <c r="O108" s="597"/>
      <c r="P108" s="597"/>
    </row>
    <row r="109" spans="1:16" s="595" customFormat="1">
      <c r="A109" s="646" t="s">
        <v>779</v>
      </c>
      <c r="B109" s="646"/>
      <c r="C109" s="647"/>
      <c r="D109" s="18"/>
      <c r="E109" s="18"/>
      <c r="F109" s="18"/>
      <c r="G109" s="18"/>
      <c r="H109" s="18"/>
      <c r="I109" s="18"/>
      <c r="J109" s="18"/>
      <c r="K109" s="18"/>
      <c r="L109" s="18"/>
    </row>
    <row r="110" spans="1:16" s="595" customFormat="1">
      <c r="A110" s="647"/>
      <c r="B110" s="647" t="s">
        <v>75</v>
      </c>
      <c r="C110" s="673">
        <v>-0.2</v>
      </c>
      <c r="D110" s="378">
        <v>0</v>
      </c>
      <c r="E110" s="378">
        <v>0</v>
      </c>
      <c r="F110" s="378">
        <v>0</v>
      </c>
      <c r="G110" s="378">
        <v>0</v>
      </c>
      <c r="H110" s="378">
        <v>0</v>
      </c>
      <c r="I110" s="378">
        <v>0</v>
      </c>
      <c r="J110" s="378">
        <v>0</v>
      </c>
      <c r="K110" s="378">
        <v>0</v>
      </c>
      <c r="L110" s="378">
        <v>0</v>
      </c>
      <c r="M110" s="378">
        <v>0</v>
      </c>
      <c r="N110" s="378">
        <v>0</v>
      </c>
      <c r="O110" s="378">
        <v>0</v>
      </c>
      <c r="P110" s="49">
        <f>SUM(D110:O110)</f>
        <v>0</v>
      </c>
    </row>
    <row r="111" spans="1:16" s="595" customFormat="1">
      <c r="A111" s="647"/>
      <c r="B111" s="647" t="s">
        <v>76</v>
      </c>
      <c r="C111" s="673">
        <f>-1.52</f>
        <v>-1.52</v>
      </c>
      <c r="D111" s="378">
        <f>$C111*D$121</f>
        <v>-13141.57</v>
      </c>
      <c r="E111" s="378">
        <f t="shared" ref="E111:O111" si="50">$C111*E$121</f>
        <v>-13206.69</v>
      </c>
      <c r="F111" s="378">
        <f t="shared" si="50"/>
        <v>-12251.05</v>
      </c>
      <c r="G111" s="378">
        <f t="shared" si="50"/>
        <v>-12295.45</v>
      </c>
      <c r="H111" s="378">
        <f t="shared" si="50"/>
        <v>-12006.65</v>
      </c>
      <c r="I111" s="378">
        <f t="shared" si="50"/>
        <v>-12173.21</v>
      </c>
      <c r="J111" s="378">
        <f t="shared" si="50"/>
        <v>-11137.63</v>
      </c>
      <c r="K111" s="378">
        <f t="shared" si="50"/>
        <v>-12684.78</v>
      </c>
      <c r="L111" s="378">
        <f t="shared" si="50"/>
        <v>-11734.22</v>
      </c>
      <c r="M111" s="378">
        <f t="shared" si="50"/>
        <v>-11482.86</v>
      </c>
      <c r="N111" s="378">
        <f t="shared" si="50"/>
        <v>-11496.16</v>
      </c>
      <c r="O111" s="378">
        <f t="shared" si="50"/>
        <v>-18142.142400000001</v>
      </c>
      <c r="P111" s="49">
        <f>SUM(D111:O111)</f>
        <v>-151752.4124</v>
      </c>
    </row>
    <row r="112" spans="1:16" s="595" customFormat="1">
      <c r="A112" s="647"/>
      <c r="B112" s="647" t="s">
        <v>77</v>
      </c>
      <c r="C112" s="673">
        <v>-1.93</v>
      </c>
      <c r="D112" s="378">
        <f t="shared" ref="D112:O112" si="51">$C112*D$123</f>
        <v>-97136.61</v>
      </c>
      <c r="E112" s="378">
        <f t="shared" si="51"/>
        <v>-105717.87</v>
      </c>
      <c r="F112" s="378">
        <f t="shared" si="51"/>
        <v>-106063.9</v>
      </c>
      <c r="G112" s="378">
        <f t="shared" si="51"/>
        <v>-104867.3</v>
      </c>
      <c r="H112" s="378">
        <f t="shared" si="51"/>
        <v>-106281.97</v>
      </c>
      <c r="I112" s="378">
        <f t="shared" si="51"/>
        <v>-106549.7</v>
      </c>
      <c r="J112" s="378">
        <f t="shared" si="51"/>
        <v>-104946.82</v>
      </c>
      <c r="K112" s="378">
        <f t="shared" si="51"/>
        <v>-105742.35</v>
      </c>
      <c r="L112" s="378">
        <f t="shared" si="51"/>
        <v>-106311.66</v>
      </c>
      <c r="M112" s="378">
        <f t="shared" si="51"/>
        <v>-102223.67</v>
      </c>
      <c r="N112" s="378">
        <f t="shared" si="51"/>
        <v>-102958.86</v>
      </c>
      <c r="O112" s="378">
        <f t="shared" si="51"/>
        <v>-98104.679199999999</v>
      </c>
      <c r="P112" s="49">
        <f>SUM(D112:O112)</f>
        <v>-1246905.3891999999</v>
      </c>
    </row>
    <row r="113" spans="1:20" s="595" customFormat="1">
      <c r="A113" s="647"/>
      <c r="B113" s="647"/>
      <c r="C113" s="647"/>
      <c r="D113" s="276">
        <f t="shared" ref="D113:P113" si="52">SUM(D110:D112)</f>
        <v>-110278.18</v>
      </c>
      <c r="E113" s="276">
        <f t="shared" si="52"/>
        <v>-118924.56</v>
      </c>
      <c r="F113" s="276">
        <f t="shared" si="52"/>
        <v>-118314.95</v>
      </c>
      <c r="G113" s="276">
        <f t="shared" si="52"/>
        <v>-117162.75</v>
      </c>
      <c r="H113" s="276">
        <f t="shared" si="52"/>
        <v>-118288.62</v>
      </c>
      <c r="I113" s="276">
        <f t="shared" si="52"/>
        <v>-118722.91</v>
      </c>
      <c r="J113" s="276">
        <f t="shared" si="52"/>
        <v>-116084.45000000001</v>
      </c>
      <c r="K113" s="276">
        <f t="shared" si="52"/>
        <v>-118427.13</v>
      </c>
      <c r="L113" s="276">
        <f t="shared" si="52"/>
        <v>-118045.88</v>
      </c>
      <c r="M113" s="50">
        <f t="shared" si="52"/>
        <v>-113706.53</v>
      </c>
      <c r="N113" s="50">
        <f t="shared" si="52"/>
        <v>-114455.02</v>
      </c>
      <c r="O113" s="50">
        <f t="shared" si="52"/>
        <v>-116246.8216</v>
      </c>
      <c r="P113" s="50">
        <f t="shared" si="52"/>
        <v>-1398657.8015999999</v>
      </c>
    </row>
    <row r="114" spans="1:20" s="595" customFormat="1">
      <c r="A114" s="646" t="s">
        <v>786</v>
      </c>
      <c r="B114" s="646"/>
      <c r="C114" s="647"/>
      <c r="D114" s="18"/>
      <c r="E114" s="18"/>
      <c r="F114" s="18"/>
      <c r="G114" s="18"/>
      <c r="H114" s="18"/>
      <c r="I114" s="18"/>
      <c r="J114" s="18"/>
      <c r="K114" s="18"/>
      <c r="L114" s="18"/>
    </row>
    <row r="115" spans="1:20" s="595" customFormat="1">
      <c r="A115" s="647"/>
      <c r="B115" s="647" t="s">
        <v>75</v>
      </c>
      <c r="C115" s="673">
        <v>-0.2</v>
      </c>
      <c r="D115" s="378">
        <v>0</v>
      </c>
      <c r="E115" s="378">
        <v>0</v>
      </c>
      <c r="F115" s="378">
        <v>0</v>
      </c>
      <c r="G115" s="378">
        <v>0</v>
      </c>
      <c r="H115" s="378">
        <v>0</v>
      </c>
      <c r="I115" s="378">
        <v>0</v>
      </c>
      <c r="J115" s="378">
        <v>0</v>
      </c>
      <c r="K115" s="378">
        <v>0</v>
      </c>
      <c r="L115" s="378">
        <v>0</v>
      </c>
      <c r="M115" s="378">
        <v>0</v>
      </c>
      <c r="N115" s="378">
        <v>0</v>
      </c>
      <c r="O115" s="378">
        <v>0</v>
      </c>
      <c r="P115" s="49">
        <f>SUM(D115:O115)</f>
        <v>0</v>
      </c>
    </row>
    <row r="116" spans="1:20" s="595" customFormat="1">
      <c r="A116" s="647"/>
      <c r="B116" s="647" t="s">
        <v>76</v>
      </c>
      <c r="C116" s="673">
        <v>-1.52</v>
      </c>
      <c r="D116" s="378">
        <f t="shared" ref="D116:O116" si="53">$C116*D$121</f>
        <v>-13141.57</v>
      </c>
      <c r="E116" s="378">
        <f t="shared" si="53"/>
        <v>-13206.69</v>
      </c>
      <c r="F116" s="378">
        <f t="shared" si="53"/>
        <v>-12251.05</v>
      </c>
      <c r="G116" s="378">
        <f>$C116*G$121</f>
        <v>-12295.45</v>
      </c>
      <c r="H116" s="378">
        <f t="shared" si="53"/>
        <v>-12006.65</v>
      </c>
      <c r="I116" s="378">
        <f t="shared" si="53"/>
        <v>-12173.21</v>
      </c>
      <c r="J116" s="378">
        <f t="shared" si="53"/>
        <v>-11137.63</v>
      </c>
      <c r="K116" s="378">
        <f t="shared" si="53"/>
        <v>-12684.78</v>
      </c>
      <c r="L116" s="378">
        <f t="shared" si="53"/>
        <v>-11734.22</v>
      </c>
      <c r="M116" s="378">
        <f t="shared" si="53"/>
        <v>-11482.86</v>
      </c>
      <c r="N116" s="378">
        <f t="shared" si="53"/>
        <v>-11496.16</v>
      </c>
      <c r="O116" s="378">
        <f t="shared" si="53"/>
        <v>-18142.142400000001</v>
      </c>
      <c r="P116" s="49">
        <f>SUM(D116:O116)</f>
        <v>-151752.4124</v>
      </c>
    </row>
    <row r="117" spans="1:20" s="595" customFormat="1">
      <c r="A117" s="647"/>
      <c r="B117" s="647" t="s">
        <v>77</v>
      </c>
      <c r="C117" s="673">
        <v>-1.93</v>
      </c>
      <c r="D117" s="378">
        <f t="shared" ref="D117:O117" si="54">$C117*D$123</f>
        <v>-97136.61</v>
      </c>
      <c r="E117" s="378">
        <f t="shared" si="54"/>
        <v>-105717.87</v>
      </c>
      <c r="F117" s="378">
        <f t="shared" si="54"/>
        <v>-106063.9</v>
      </c>
      <c r="G117" s="378">
        <f t="shared" si="54"/>
        <v>-104867.3</v>
      </c>
      <c r="H117" s="378">
        <f t="shared" si="54"/>
        <v>-106281.97</v>
      </c>
      <c r="I117" s="378">
        <f t="shared" si="54"/>
        <v>-106549.7</v>
      </c>
      <c r="J117" s="378">
        <f t="shared" si="54"/>
        <v>-104946.82</v>
      </c>
      <c r="K117" s="378">
        <f t="shared" si="54"/>
        <v>-105742.35</v>
      </c>
      <c r="L117" s="378">
        <f t="shared" si="54"/>
        <v>-106311.66</v>
      </c>
      <c r="M117" s="378">
        <f t="shared" si="54"/>
        <v>-102223.67</v>
      </c>
      <c r="N117" s="378">
        <f t="shared" si="54"/>
        <v>-102958.86</v>
      </c>
      <c r="O117" s="378">
        <f t="shared" si="54"/>
        <v>-98104.679199999999</v>
      </c>
      <c r="P117" s="49">
        <f>SUM(D117:O117)</f>
        <v>-1246905.3891999999</v>
      </c>
    </row>
    <row r="118" spans="1:20" s="595" customFormat="1">
      <c r="D118" s="276">
        <f t="shared" ref="D118:P118" si="55">SUM(D115:D117)</f>
        <v>-110278.18</v>
      </c>
      <c r="E118" s="276">
        <f t="shared" si="55"/>
        <v>-118924.56</v>
      </c>
      <c r="F118" s="276">
        <f t="shared" si="55"/>
        <v>-118314.95</v>
      </c>
      <c r="G118" s="276">
        <f t="shared" si="55"/>
        <v>-117162.75</v>
      </c>
      <c r="H118" s="276">
        <f t="shared" si="55"/>
        <v>-118288.62</v>
      </c>
      <c r="I118" s="276">
        <f t="shared" si="55"/>
        <v>-118722.91</v>
      </c>
      <c r="J118" s="276">
        <f t="shared" si="55"/>
        <v>-116084.45000000001</v>
      </c>
      <c r="K118" s="276">
        <f t="shared" si="55"/>
        <v>-118427.13</v>
      </c>
      <c r="L118" s="276">
        <f t="shared" si="55"/>
        <v>-118045.88</v>
      </c>
      <c r="M118" s="50">
        <f t="shared" si="55"/>
        <v>-113706.53</v>
      </c>
      <c r="N118" s="50">
        <f t="shared" si="55"/>
        <v>-114455.02</v>
      </c>
      <c r="O118" s="50">
        <f t="shared" si="55"/>
        <v>-116246.8216</v>
      </c>
      <c r="P118" s="50">
        <f t="shared" si="55"/>
        <v>-1398657.8015999999</v>
      </c>
    </row>
    <row r="119" spans="1:20" s="595" customFormat="1">
      <c r="D119" s="596"/>
      <c r="E119" s="596"/>
      <c r="F119" s="596"/>
      <c r="G119" s="596"/>
      <c r="H119" s="596"/>
      <c r="I119" s="596"/>
      <c r="J119" s="596"/>
      <c r="K119" s="596"/>
      <c r="L119" s="596"/>
      <c r="M119" s="597"/>
      <c r="N119" s="597"/>
      <c r="O119" s="597"/>
      <c r="P119" s="597"/>
    </row>
    <row r="120" spans="1:20">
      <c r="A120" s="646" t="s">
        <v>773</v>
      </c>
      <c r="B120" s="646"/>
      <c r="C120" s="647"/>
      <c r="D120" s="647"/>
      <c r="E120" s="647"/>
      <c r="F120" s="647"/>
      <c r="G120" s="647"/>
      <c r="H120" s="647"/>
      <c r="I120" s="647"/>
      <c r="J120" s="647"/>
      <c r="K120" s="647"/>
      <c r="L120" s="647"/>
      <c r="M120" s="647"/>
      <c r="N120" s="647"/>
      <c r="O120" s="647"/>
      <c r="P120" s="647"/>
    </row>
    <row r="121" spans="1:20">
      <c r="A121" s="647"/>
      <c r="B121" s="647" t="s">
        <v>490</v>
      </c>
      <c r="C121" s="647"/>
      <c r="D121" s="648">
        <f>'REVRUNS 12ME0623'!E464/'REVRUNS 12ME0623'!E468</f>
        <v>8645.769736842105</v>
      </c>
      <c r="E121" s="648">
        <f>'REVRUNS 12ME0623'!F464/'REVRUNS 12ME0623'!F468</f>
        <v>8688.6118421052633</v>
      </c>
      <c r="F121" s="648">
        <f>'REVRUNS 12ME0623'!G464/'REVRUNS 12ME0623'!G468</f>
        <v>8059.9013157894733</v>
      </c>
      <c r="G121" s="648">
        <f>'REVRUNS 12ME0623'!H464/'REVRUNS 12ME0623'!H468</f>
        <v>8089.1118421052633</v>
      </c>
      <c r="H121" s="648">
        <f>'REVRUNS 12ME0623'!I464/'REVRUNS 12ME0623'!I468</f>
        <v>7899.1118421052624</v>
      </c>
      <c r="I121" s="648">
        <f>'REVRUNS 12ME0623'!J464/'REVRUNS 12ME0623'!J468</f>
        <v>8008.6907894736833</v>
      </c>
      <c r="J121" s="648">
        <f>'REVRUNS 12ME0623'!K464/'REVRUNS 12ME0623'!K468</f>
        <v>7327.3881578947367</v>
      </c>
      <c r="K121" s="648">
        <f>'REVRUNS 12ME0623'!L464/'REVRUNS 12ME0623'!L468</f>
        <v>8345.25</v>
      </c>
      <c r="L121" s="648">
        <f>'REVRUNS 12ME0623'!M464/'REVRUNS 12ME0623'!M468</f>
        <v>7719.8815789473683</v>
      </c>
      <c r="M121" s="648">
        <f>'REVRUNS 12ME0623'!N464/'REVRUNS 12ME0623'!N468</f>
        <v>7554.5131578947376</v>
      </c>
      <c r="N121" s="648">
        <f>'REVRUNS 12ME0623'!O464/'REVRUNS 12ME0623'!O468</f>
        <v>7563.2631578947367</v>
      </c>
      <c r="O121" s="648">
        <v>11935.62</v>
      </c>
      <c r="P121" s="649">
        <f>SUM(D121:O121)</f>
        <v>99837.113421052622</v>
      </c>
      <c r="T121" s="211">
        <f>24000</f>
        <v>24000</v>
      </c>
    </row>
    <row r="122" spans="1:20">
      <c r="A122" s="647"/>
      <c r="B122" s="647" t="s">
        <v>488</v>
      </c>
      <c r="C122" s="647"/>
      <c r="D122" s="650">
        <v>0</v>
      </c>
      <c r="E122" s="650">
        <v>0</v>
      </c>
      <c r="F122" s="650">
        <v>0</v>
      </c>
      <c r="G122" s="650">
        <v>0</v>
      </c>
      <c r="H122" s="650">
        <v>0</v>
      </c>
      <c r="I122" s="650">
        <v>0</v>
      </c>
      <c r="J122" s="650">
        <v>0</v>
      </c>
      <c r="K122" s="650">
        <v>0</v>
      </c>
      <c r="L122" s="650">
        <v>0</v>
      </c>
      <c r="M122" s="650">
        <v>0</v>
      </c>
      <c r="N122" s="650">
        <v>0</v>
      </c>
      <c r="O122" s="648">
        <v>0</v>
      </c>
      <c r="P122" s="649">
        <f>SUM(D122:O122)</f>
        <v>0</v>
      </c>
      <c r="T122" s="211">
        <v>0</v>
      </c>
    </row>
    <row r="123" spans="1:20">
      <c r="A123" s="647"/>
      <c r="B123" s="647" t="s">
        <v>489</v>
      </c>
      <c r="C123" s="647"/>
      <c r="D123" s="648">
        <f>'REVRUNS 12ME0623'!E465/'REVRUNS 12ME0623'!E469</f>
        <v>50329.849740932645</v>
      </c>
      <c r="E123" s="648">
        <f>'REVRUNS 12ME0623'!F465/'REVRUNS 12ME0623'!F469</f>
        <v>54776.098445595853</v>
      </c>
      <c r="F123" s="648">
        <f>'REVRUNS 12ME0623'!G465/'REVRUNS 12ME0623'!G469</f>
        <v>54955.388601036269</v>
      </c>
      <c r="G123" s="648">
        <f>'REVRUNS 12ME0623'!H465/'REVRUNS 12ME0623'!H469</f>
        <v>54335.388601036269</v>
      </c>
      <c r="H123" s="648">
        <f>'REVRUNS 12ME0623'!I465/'REVRUNS 12ME0623'!I469</f>
        <v>55068.378238341975</v>
      </c>
      <c r="I123" s="648">
        <f>'REVRUNS 12ME0623'!J465/'REVRUNS 12ME0623'!J469</f>
        <v>55207.098445595853</v>
      </c>
      <c r="J123" s="648">
        <f>'REVRUNS 12ME0623'!K465/'REVRUNS 12ME0623'!K469</f>
        <v>54376.590673575134</v>
      </c>
      <c r="K123" s="648">
        <f>'REVRUNS 12ME0623'!L465/'REVRUNS 12ME0623'!L469</f>
        <v>54788.782383419697</v>
      </c>
      <c r="L123" s="648">
        <f>'REVRUNS 12ME0623'!M465/'REVRUNS 12ME0623'!M469</f>
        <v>55083.761658031093</v>
      </c>
      <c r="M123" s="648">
        <f>'REVRUNS 12ME0623'!N465/'REVRUNS 12ME0623'!N469</f>
        <v>52965.632124352334</v>
      </c>
      <c r="N123" s="648">
        <f>'REVRUNS 12ME0623'!O465/'REVRUNS 12ME0623'!O469</f>
        <v>53346.559585492229</v>
      </c>
      <c r="O123" s="648">
        <v>50831.44</v>
      </c>
      <c r="P123" s="649">
        <f>SUM(D123:O123)</f>
        <v>646064.96849740949</v>
      </c>
      <c r="T123" s="211">
        <f>L95*6.5</f>
        <v>389684.42499999999</v>
      </c>
    </row>
    <row r="124" spans="1:20">
      <c r="A124" t="s">
        <v>73</v>
      </c>
      <c r="B124" s="434" t="s">
        <v>64</v>
      </c>
      <c r="D124" s="273">
        <f t="shared" ref="D124:P124" si="56">SUM(D121:D123)</f>
        <v>58975.619477774751</v>
      </c>
      <c r="E124" s="273">
        <f t="shared" si="56"/>
        <v>63464.71028770112</v>
      </c>
      <c r="F124" s="273">
        <f t="shared" si="56"/>
        <v>63015.289916825743</v>
      </c>
      <c r="G124" s="273">
        <f t="shared" si="56"/>
        <v>62424.500443141529</v>
      </c>
      <c r="H124" s="273">
        <f t="shared" si="56"/>
        <v>62967.490080447235</v>
      </c>
      <c r="I124" s="273">
        <f t="shared" si="56"/>
        <v>63215.789235069533</v>
      </c>
      <c r="J124" s="273">
        <f t="shared" si="56"/>
        <v>61703.978831469867</v>
      </c>
      <c r="K124" s="273">
        <f t="shared" si="56"/>
        <v>63134.032383419697</v>
      </c>
      <c r="L124" s="273">
        <f t="shared" si="56"/>
        <v>62803.64323697846</v>
      </c>
      <c r="M124" s="37">
        <f t="shared" si="56"/>
        <v>60520.145282247075</v>
      </c>
      <c r="N124" s="37">
        <f t="shared" si="56"/>
        <v>60909.822743386962</v>
      </c>
      <c r="O124" s="37">
        <f t="shared" si="56"/>
        <v>62767.060000000005</v>
      </c>
      <c r="P124" s="38">
        <f t="shared" si="56"/>
        <v>745902.08191846206</v>
      </c>
      <c r="T124" s="211">
        <f>500000*0.05762</f>
        <v>28810</v>
      </c>
    </row>
    <row r="125" spans="1:20">
      <c r="D125" s="39">
        <f t="shared" ref="D125:O125" si="57">D94</f>
        <v>59114.98</v>
      </c>
      <c r="E125" s="39">
        <f t="shared" si="57"/>
        <v>64579.57</v>
      </c>
      <c r="F125" s="39">
        <f t="shared" si="57"/>
        <v>62205.78</v>
      </c>
      <c r="G125" s="39">
        <f t="shared" si="57"/>
        <v>63460.71</v>
      </c>
      <c r="H125" s="39">
        <f t="shared" si="57"/>
        <v>62142.92</v>
      </c>
      <c r="I125" s="39">
        <f t="shared" si="57"/>
        <v>62496.81</v>
      </c>
      <c r="J125" s="39">
        <f t="shared" si="57"/>
        <v>61974.77</v>
      </c>
      <c r="K125" s="39">
        <f t="shared" si="57"/>
        <v>63570.66</v>
      </c>
      <c r="L125" s="39">
        <f t="shared" si="57"/>
        <v>62951.45</v>
      </c>
      <c r="M125" s="39">
        <f t="shared" si="57"/>
        <v>60309.31</v>
      </c>
      <c r="N125" s="39">
        <f t="shared" si="57"/>
        <v>61089.11</v>
      </c>
      <c r="O125" s="39">
        <f t="shared" si="57"/>
        <v>61751.77</v>
      </c>
      <c r="P125" s="42">
        <f>SUM(D125:O125)</f>
        <v>745647.84</v>
      </c>
      <c r="Q125" s="422"/>
      <c r="T125" s="211">
        <f>MIN(5500000,L38-500000)*0.0521</f>
        <v>286550</v>
      </c>
    </row>
    <row r="126" spans="1:20">
      <c r="D126" s="18"/>
      <c r="E126" s="18"/>
      <c r="F126" s="18"/>
      <c r="G126" s="18"/>
      <c r="H126" s="18"/>
      <c r="I126" s="18"/>
      <c r="J126" s="18"/>
      <c r="K126" s="18"/>
      <c r="L126" s="18"/>
      <c r="T126" s="211">
        <f>MAX(0,L38-6000000)*0.04416</f>
        <v>1065155.71584</v>
      </c>
    </row>
    <row r="127" spans="1:20">
      <c r="B127" s="380" t="s">
        <v>774</v>
      </c>
      <c r="D127" s="335">
        <f t="shared" ref="D127:I127" si="58">500000*0.05317+MIN(5500000,D38-500000)*0.04765+MAX(0,D38-6000000)*0.03954+30650+D95*8.3-D121*1.52-D123*1.93</f>
        <v>1923016.9804799999</v>
      </c>
      <c r="E127" s="411">
        <f t="shared" si="58"/>
        <v>2027624.5482399999</v>
      </c>
      <c r="F127" s="411">
        <f t="shared" si="58"/>
        <v>1892097.7887600001</v>
      </c>
      <c r="G127" s="411">
        <f t="shared" si="58"/>
        <v>1957625.9876000001</v>
      </c>
      <c r="H127" s="411">
        <f t="shared" si="58"/>
        <v>1973047.97988</v>
      </c>
      <c r="I127" s="411">
        <f t="shared" si="58"/>
        <v>1945437.6292000001</v>
      </c>
      <c r="J127" s="411">
        <f>500000*0.05471+MIN(5500000,J38-500000)*0.04919+MAX(0,J38-6000000)*0.04108+30650+J95*8.3-J121*1.52-J123*1.93</f>
        <v>1895570.78764</v>
      </c>
      <c r="K127" s="411">
        <f>500000*0.05471+MIN(5500000,K38-500000)*0.04919+MAX(0,K38-6000000)*0.04108+30650+K95*8.3-K121*1.52-K123*1.93</f>
        <v>1951168.2952000001</v>
      </c>
      <c r="L127" s="411">
        <f>500000*0.05471+MIN(5500000,L38-500000)*0.04919+MAX(0,L38-6000000)*0.04108+30650+L95*8.3-L121*1.52-L123*1.93</f>
        <v>1698966.1189200003</v>
      </c>
      <c r="M127" s="411">
        <f>500000*0.05486+MIN(5500000,M38-500000)*0.04934+MAX(0,M38-6000000)*0.04123+30650+M95*8.3-M121*1.52-M123*1.93</f>
        <v>1736984.2473600002</v>
      </c>
      <c r="N127" s="411">
        <f>500000*0.05463+MIN(5500000,N38-500000)*0.04911+MAX(0,N38-6000000)*0.041+30650+N95*8.3-N121*1.52-N123*1.93</f>
        <v>1807086.5710000002</v>
      </c>
      <c r="O127" s="411">
        <f>500000*0.05463+MIN(5500000,O38-500000)*0.04911+MAX(0,O38-6000000)*0.041+30650+O95*8.3-O121*1.52-O123*1.93</f>
        <v>1972931.7254000003</v>
      </c>
      <c r="P127" s="48">
        <f>SUM(D127:O127)</f>
        <v>22781558.659679998</v>
      </c>
      <c r="T127" s="603">
        <f>-L121*1.1</f>
        <v>-8491.8697368421053</v>
      </c>
    </row>
    <row r="128" spans="1:20">
      <c r="B128" s="380" t="s">
        <v>780</v>
      </c>
      <c r="D128" s="438"/>
      <c r="E128" s="438"/>
      <c r="F128" s="438"/>
      <c r="G128" s="438"/>
      <c r="H128" s="438"/>
      <c r="I128" s="438"/>
      <c r="J128" s="438"/>
      <c r="K128" s="438"/>
      <c r="L128" s="438"/>
      <c r="M128" s="439"/>
      <c r="N128" s="439">
        <f>2241466.9-14475.44-101587.46-15103.12</f>
        <v>2110300.88</v>
      </c>
      <c r="O128" s="439">
        <f>2153023.22-13904.27-98104.68-18142.14</f>
        <v>2022872.1300000004</v>
      </c>
      <c r="P128" s="48">
        <f>SUM(D128:O128)</f>
        <v>4133173.0100000002</v>
      </c>
      <c r="T128" s="603">
        <f>-L123*1.4</f>
        <v>-77117.266321243529</v>
      </c>
    </row>
    <row r="129" spans="1:20">
      <c r="D129" s="272">
        <f t="shared" ref="D129:K129" si="59">D127-D128</f>
        <v>1923016.9804799999</v>
      </c>
      <c r="E129" s="272">
        <f t="shared" si="59"/>
        <v>2027624.5482399999</v>
      </c>
      <c r="F129" s="272">
        <f t="shared" si="59"/>
        <v>1892097.7887600001</v>
      </c>
      <c r="G129" s="272">
        <f t="shared" si="59"/>
        <v>1957625.9876000001</v>
      </c>
      <c r="H129" s="272">
        <f t="shared" si="59"/>
        <v>1973047.97988</v>
      </c>
      <c r="I129" s="272">
        <f t="shared" si="59"/>
        <v>1945437.6292000001</v>
      </c>
      <c r="J129" s="272">
        <f t="shared" si="59"/>
        <v>1895570.78764</v>
      </c>
      <c r="K129" s="272">
        <f t="shared" si="59"/>
        <v>1951168.2952000001</v>
      </c>
      <c r="L129" s="272">
        <f>L127-L128</f>
        <v>1698966.1189200003</v>
      </c>
      <c r="M129" s="272">
        <f t="shared" ref="M129:N129" si="60">M127-M128</f>
        <v>1736984.2473600002</v>
      </c>
      <c r="N129" s="272">
        <f t="shared" si="60"/>
        <v>-303214.30899999966</v>
      </c>
      <c r="O129" s="272">
        <f>O127-O128</f>
        <v>-49940.404600000009</v>
      </c>
      <c r="P129" s="48"/>
      <c r="T129" s="603">
        <f>SUM(T121:T128)</f>
        <v>1708591.0047819144</v>
      </c>
    </row>
    <row r="130" spans="1:20" s="556" customFormat="1">
      <c r="B130" s="380"/>
    </row>
    <row r="131" spans="1:20">
      <c r="B131" s="108" t="s">
        <v>392</v>
      </c>
      <c r="D131" s="18"/>
      <c r="E131" s="18"/>
      <c r="F131" s="18"/>
      <c r="G131" s="18"/>
      <c r="H131" s="18"/>
      <c r="I131" s="18"/>
      <c r="J131" s="18"/>
      <c r="K131" s="18"/>
      <c r="L131" s="18"/>
    </row>
    <row r="132" spans="1:20">
      <c r="A132" s="627">
        <v>1</v>
      </c>
      <c r="B132" s="380">
        <f t="shared" ref="B132:B152" si="61">B4</f>
        <v>0</v>
      </c>
      <c r="C132" s="308"/>
      <c r="D132" s="377">
        <f>500000*('Rate Design'!$I$5/100)+MIN(5500000,D4-500000)*('Rate Design'!$I$6/100)+MAX(0,D4-6000000)*('Rate Design'!$I$7/100)+'Rate Design'!$I$9+D70*'Rate Design'!$I$10-0.2*D45</f>
        <v>251372.08364399997</v>
      </c>
      <c r="E132" s="377">
        <f>500000*('Rate Design'!$I$5/100)+MIN(5500000,E4-500000)*('Rate Design'!$I$6/100)+MAX(0,E4-6000000)*('Rate Design'!$I$7/100)+'Rate Design'!$I$9+E70*'Rate Design'!$I$10-0.2*E45</f>
        <v>232829.212738</v>
      </c>
      <c r="F132" s="377">
        <f>500000*('Rate Design'!$I$5/100)+MIN(5500000,F4-500000)*('Rate Design'!$I$6/100)+MAX(0,F4-6000000)*('Rate Design'!$I$7/100)+'Rate Design'!$I$9+F70*'Rate Design'!$I$10-0.2*F45</f>
        <v>230068.19879699999</v>
      </c>
      <c r="G132" s="377">
        <f>500000*('Rate Design'!$I$5/100)+MIN(5500000,G4-500000)*('Rate Design'!$I$6/100)+MAX(0,G4-6000000)*('Rate Design'!$I$7/100)+'Rate Design'!$I$9+G70*'Rate Design'!$I$10-0.2*G45</f>
        <v>229958.37277300001</v>
      </c>
      <c r="H132" s="377">
        <f>500000*('Rate Design'!$I$5/100)+MIN(5500000,H4-500000)*('Rate Design'!$I$6/100)+MAX(0,H4-6000000)*('Rate Design'!$I$7/100)+'Rate Design'!$I$9+H70*'Rate Design'!$I$10-0.2*H45</f>
        <v>225903.51908899998</v>
      </c>
      <c r="I132" s="377">
        <f>500000*('Rate Design'!$I$5/100)+MIN(5500000,I4-500000)*('Rate Design'!$I$6/100)+MAX(0,I4-6000000)*('Rate Design'!$I$7/100)+'Rate Design'!$I$9+I70*'Rate Design'!$I$10-0.2*I45</f>
        <v>179573.33974599998</v>
      </c>
      <c r="J132" s="377">
        <f>500000*('Rate Design'!$I$5/100)+MIN(5500000,J4-500000)*('Rate Design'!$I$6/100)+MAX(0,J4-6000000)*('Rate Design'!$I$7/100)+'Rate Design'!$I$9+J70*'Rate Design'!$I$10-0.2*J45</f>
        <v>218209.70073299998</v>
      </c>
      <c r="K132" s="377">
        <f>500000*('Rate Design'!$I$5/100)+MIN(5500000,K4-500000)*('Rate Design'!$I$6/100)+MAX(0,K4-6000000)*('Rate Design'!$I$7/100)+'Rate Design'!$I$9+K70*'Rate Design'!$I$10-0.2*K45</f>
        <v>248689.88919199997</v>
      </c>
      <c r="L132" s="377">
        <f>500000*('Rate Design'!$I$5/100)+MIN(5500000,L4-500000)*('Rate Design'!$I$6/100)+MAX(0,L4-6000000)*('Rate Design'!$I$7/100)+'Rate Design'!$I$9+L70*'Rate Design'!$I$10-0.2*L45</f>
        <v>221295.49514399996</v>
      </c>
      <c r="M132" s="377">
        <f>500000*('Rate Design'!$I$5/100)+MIN(5500000,M4-500000)*('Rate Design'!$I$6/100)+MAX(0,M4-6000000)*('Rate Design'!$I$7/100)+'Rate Design'!$I$9+M70*'Rate Design'!$I$10-0.2*M45</f>
        <v>214140.78501499997</v>
      </c>
      <c r="N132" s="377">
        <f>500000*('Rate Design'!$I$5/100)+MIN(5500000,N4-500000)*('Rate Design'!$I$6/100)+MAX(0,N4-6000000)*('Rate Design'!$I$7/100)+'Rate Design'!$I$9+N70*'Rate Design'!$I$10-0.2*N45</f>
        <v>215842.16418399996</v>
      </c>
      <c r="O132" s="377">
        <f>500000*('Rate Design'!$I$5/100)+MIN(5500000,O4-500000)*('Rate Design'!$I$6/100)+MAX(0,O4-6000000)*('Rate Design'!$I$7/100)+'Rate Design'!$I$9+O70*'Rate Design'!$I$10-0.2*O45</f>
        <v>204680.97586599999</v>
      </c>
      <c r="P132" s="42">
        <f>SUM(D132:O132)</f>
        <v>2672563.7369209998</v>
      </c>
      <c r="T132" s="845"/>
    </row>
    <row r="133" spans="1:20">
      <c r="A133" s="627">
        <v>2</v>
      </c>
      <c r="B133" s="380">
        <f t="shared" si="61"/>
        <v>0</v>
      </c>
      <c r="C133" s="308"/>
      <c r="D133" s="377">
        <f>500000*('Rate Design'!$I$5/100)+MIN(5500000,D5-500000)*('Rate Design'!$I$6/100)+MAX(0,D5-6000000)*('Rate Design'!$I$7/100)+'Rate Design'!$I$9+D71*'Rate Design'!$I$10-0.2*D46</f>
        <v>211150.80025499998</v>
      </c>
      <c r="E133" s="377">
        <f>500000*('Rate Design'!$I$5/100)+MIN(5500000,E5-500000)*('Rate Design'!$I$6/100)+MAX(0,E5-6000000)*('Rate Design'!$I$7/100)+'Rate Design'!$I$9+E71*'Rate Design'!$I$10-0.2*E46</f>
        <v>214838.86848500001</v>
      </c>
      <c r="F133" s="377">
        <f>500000*('Rate Design'!$I$5/100)+MIN(5500000,F5-500000)*('Rate Design'!$I$6/100)+MAX(0,F5-6000000)*('Rate Design'!$I$7/100)+'Rate Design'!$I$9+F71*'Rate Design'!$I$10-0.2*F46</f>
        <v>206385.48546299999</v>
      </c>
      <c r="G133" s="377">
        <f>500000*('Rate Design'!$I$5/100)+MIN(5500000,G5-500000)*('Rate Design'!$I$6/100)+MAX(0,G5-6000000)*('Rate Design'!$I$7/100)+'Rate Design'!$I$9+G71*'Rate Design'!$I$10-0.2*G46</f>
        <v>210494.58928700001</v>
      </c>
      <c r="H133" s="377">
        <f>500000*('Rate Design'!$I$5/100)+MIN(5500000,H5-500000)*('Rate Design'!$I$6/100)+MAX(0,H5-6000000)*('Rate Design'!$I$7/100)+'Rate Design'!$I$9+H71*'Rate Design'!$I$10-0.2*H46</f>
        <v>186994.73130399999</v>
      </c>
      <c r="I133" s="377">
        <f>500000*('Rate Design'!$I$5/100)+MIN(5500000,I5-500000)*('Rate Design'!$I$6/100)+MAX(0,I5-6000000)*('Rate Design'!$I$7/100)+'Rate Design'!$I$9+I71*'Rate Design'!$I$10-0.2*I46</f>
        <v>185872.982452</v>
      </c>
      <c r="J133" s="377">
        <f>500000*('Rate Design'!$I$5/100)+MIN(5500000,J5-500000)*('Rate Design'!$I$6/100)+MAX(0,J5-6000000)*('Rate Design'!$I$7/100)+'Rate Design'!$I$9+J71*'Rate Design'!$I$10-0.2*J46</f>
        <v>213787.95763799996</v>
      </c>
      <c r="K133" s="377">
        <f>500000*('Rate Design'!$I$5/100)+MIN(5500000,K5-500000)*('Rate Design'!$I$6/100)+MAX(0,K5-6000000)*('Rate Design'!$I$7/100)+'Rate Design'!$I$9+K71*'Rate Design'!$I$10-0.2*K46</f>
        <v>203355.93509300001</v>
      </c>
      <c r="L133" s="377">
        <f>500000*('Rate Design'!$I$5/100)+MIN(5500000,L5-500000)*('Rate Design'!$I$6/100)+MAX(0,L5-6000000)*('Rate Design'!$I$7/100)+'Rate Design'!$I$9+L71*'Rate Design'!$I$10-0.2*L46</f>
        <v>217513.60334451997</v>
      </c>
      <c r="M133" s="377">
        <f>500000*('Rate Design'!$I$5/100)+MIN(5500000,M5-500000)*('Rate Design'!$I$6/100)+MAX(0,M5-6000000)*('Rate Design'!$I$7/100)+'Rate Design'!$I$9+M71*'Rate Design'!$I$10-0.2*M46</f>
        <v>211545.85267499997</v>
      </c>
      <c r="N133" s="377">
        <f>500000*('Rate Design'!$I$5/100)+MIN(5500000,N5-500000)*('Rate Design'!$I$6/100)+MAX(0,N5-6000000)*('Rate Design'!$I$7/100)+'Rate Design'!$I$9+N71*'Rate Design'!$I$10-0.2*N46</f>
        <v>206848.55264099999</v>
      </c>
      <c r="O133" s="377">
        <f>500000*('Rate Design'!$I$5/100)+MIN(5500000,O5-500000)*('Rate Design'!$I$6/100)+MAX(0,O5-6000000)*('Rate Design'!$I$7/100)+'Rate Design'!$I$9+O71*'Rate Design'!$I$10-0.2*O46</f>
        <v>204691.445248</v>
      </c>
      <c r="P133" s="42">
        <f t="shared" ref="P133:P150" si="62">SUM(D133:O133)</f>
        <v>2473480.8038855195</v>
      </c>
      <c r="T133" s="845"/>
    </row>
    <row r="134" spans="1:20">
      <c r="A134" s="627">
        <v>3</v>
      </c>
      <c r="B134" s="380">
        <f t="shared" si="61"/>
        <v>0</v>
      </c>
      <c r="C134" s="308"/>
      <c r="D134" s="377">
        <f>500000*('Rate Design'!$I$5/100)+MIN(5500000,D6-500000)*('Rate Design'!$I$6/100)+MAX(0,D6-6000000)*('Rate Design'!$I$7/100)+'Rate Design'!$I$9+D72*'Rate Design'!$I$10-0.2*D47</f>
        <v>84074.190828999999</v>
      </c>
      <c r="E134" s="377">
        <f>500000*('Rate Design'!$I$5/100)+MIN(5500000,E6-500000)*('Rate Design'!$I$6/100)+MAX(0,E6-6000000)*('Rate Design'!$I$7/100)+'Rate Design'!$I$9+E72*'Rate Design'!$I$10-0.2*E47</f>
        <v>86610.297749000005</v>
      </c>
      <c r="F134" s="377">
        <f>500000*('Rate Design'!$I$5/100)+MIN(5500000,F6-500000)*('Rate Design'!$I$6/100)+MAX(0,F6-6000000)*('Rate Design'!$I$7/100)+'Rate Design'!$I$9+F72*'Rate Design'!$I$10-0.2*F47</f>
        <v>81594.297017000004</v>
      </c>
      <c r="G134" s="377">
        <f>500000*('Rate Design'!$I$5/100)+MIN(5500000,G6-500000)*('Rate Design'!$I$6/100)+MAX(0,G6-6000000)*('Rate Design'!$I$7/100)+'Rate Design'!$I$9+G72*'Rate Design'!$I$10-0.2*G47</f>
        <v>87141.024084999997</v>
      </c>
      <c r="H134" s="377">
        <f>500000*('Rate Design'!$I$5/100)+MIN(5500000,H6-500000)*('Rate Design'!$I$6/100)+MAX(0,H6-6000000)*('Rate Design'!$I$7/100)+'Rate Design'!$I$9+H72*'Rate Design'!$I$10-0.2*H47</f>
        <v>98727.165282999995</v>
      </c>
      <c r="I134" s="377">
        <f>500000*('Rate Design'!$I$5/100)+MIN(5500000,I6-500000)*('Rate Design'!$I$6/100)+MAX(0,I6-6000000)*('Rate Design'!$I$7/100)+'Rate Design'!$I$9+I72*'Rate Design'!$I$10-0.2*I47</f>
        <v>103708.026661</v>
      </c>
      <c r="J134" s="377">
        <f>500000*('Rate Design'!$I$5/100)+MIN(5500000,J6-500000)*('Rate Design'!$I$6/100)+MAX(0,J6-6000000)*('Rate Design'!$I$7/100)+'Rate Design'!$I$9+J72*'Rate Design'!$I$10-0.2*J47</f>
        <v>107967.26307599999</v>
      </c>
      <c r="K134" s="377">
        <f>500000*('Rate Design'!$I$5/100)+MIN(5500000,K6-500000)*('Rate Design'!$I$6/100)+MAX(0,K6-6000000)*('Rate Design'!$I$7/100)+'Rate Design'!$I$9+K72*'Rate Design'!$I$10-0.2*K47</f>
        <v>104573.68359099999</v>
      </c>
      <c r="L134" s="377">
        <f>500000*('Rate Design'!$I$5/100)+MIN(5500000,L6-500000)*('Rate Design'!$I$6/100)+MAX(0,L6-6000000)*('Rate Design'!$I$7/100)+'Rate Design'!$I$9+L72*'Rate Design'!$I$10-0.2*L47</f>
        <v>107066.19287552001</v>
      </c>
      <c r="M134" s="377">
        <f>500000*('Rate Design'!$I$5/100)+MIN(5500000,M6-500000)*('Rate Design'!$I$6/100)+MAX(0,M6-6000000)*('Rate Design'!$I$7/100)+'Rate Design'!$I$9+M72*'Rate Design'!$I$10-0.2*M47</f>
        <v>102059.532265</v>
      </c>
      <c r="N134" s="377">
        <f>500000*('Rate Design'!$I$5/100)+MIN(5500000,N6-500000)*('Rate Design'!$I$6/100)+MAX(0,N6-6000000)*('Rate Design'!$I$7/100)+'Rate Design'!$I$9+N72*'Rate Design'!$I$10-0.2*N47</f>
        <v>99720.681972999984</v>
      </c>
      <c r="O134" s="377">
        <f>500000*('Rate Design'!$I$5/100)+MIN(5500000,O6-500000)*('Rate Design'!$I$6/100)+MAX(0,O6-6000000)*('Rate Design'!$I$7/100)+'Rate Design'!$I$9+O72*'Rate Design'!$I$10-0.2*O47</f>
        <v>101340.310614</v>
      </c>
      <c r="P134" s="42">
        <f t="shared" si="62"/>
        <v>1164582.6660185202</v>
      </c>
      <c r="T134" s="845"/>
    </row>
    <row r="135" spans="1:20">
      <c r="A135" s="627">
        <v>4</v>
      </c>
      <c r="B135" s="380">
        <f t="shared" si="61"/>
        <v>0</v>
      </c>
      <c r="C135" s="308"/>
      <c r="D135" s="377">
        <f>500000*('Rate Design'!$I$5/100)+MIN(5500000,D7-500000)*('Rate Design'!$I$6/100)+MAX(0,D7-6000000)*('Rate Design'!$I$7/100)+'Rate Design'!$I$9+D73*'Rate Design'!$I$10-0.2*D48</f>
        <v>137174.88895199998</v>
      </c>
      <c r="E135" s="377">
        <f>500000*('Rate Design'!$I$5/100)+MIN(5500000,E7-500000)*('Rate Design'!$I$6/100)+MAX(0,E7-6000000)*('Rate Design'!$I$7/100)+'Rate Design'!$I$9+E73*'Rate Design'!$I$10-0.2*E48</f>
        <v>137711.04084449998</v>
      </c>
      <c r="F135" s="377">
        <f>500000*('Rate Design'!$I$5/100)+MIN(5500000,F7-500000)*('Rate Design'!$I$6/100)+MAX(0,F7-6000000)*('Rate Design'!$I$7/100)+'Rate Design'!$I$9+F73*'Rate Design'!$I$10-0.2*F48</f>
        <v>134271.32563900002</v>
      </c>
      <c r="G135" s="377">
        <f>500000*('Rate Design'!$I$5/100)+MIN(5500000,G7-500000)*('Rate Design'!$I$6/100)+MAX(0,G7-6000000)*('Rate Design'!$I$7/100)+'Rate Design'!$I$9+G73*'Rate Design'!$I$10-0.2*G48</f>
        <v>138017.46718150002</v>
      </c>
      <c r="H135" s="377">
        <f>500000*('Rate Design'!$I$5/100)+MIN(5500000,H7-500000)*('Rate Design'!$I$6/100)+MAX(0,H7-6000000)*('Rate Design'!$I$7/100)+'Rate Design'!$I$9+H73*'Rate Design'!$I$10-0.2*H48</f>
        <v>137120.30640125001</v>
      </c>
      <c r="I135" s="377">
        <f>500000*('Rate Design'!$I$5/100)+MIN(5500000,I7-500000)*('Rate Design'!$I$6/100)+MAX(0,I7-6000000)*('Rate Design'!$I$7/100)+'Rate Design'!$I$9+I73*'Rate Design'!$I$10-0.2*I48</f>
        <v>148970.781032</v>
      </c>
      <c r="J135" s="377">
        <f>500000*('Rate Design'!$I$5/100)+MIN(5500000,J7-500000)*('Rate Design'!$I$6/100)+MAX(0,J7-6000000)*('Rate Design'!$I$7/100)+'Rate Design'!$I$9+J73*'Rate Design'!$I$10-0.2*J48</f>
        <v>157984.17960099998</v>
      </c>
      <c r="K135" s="377">
        <f>500000*('Rate Design'!$I$5/100)+MIN(5500000,K7-500000)*('Rate Design'!$I$6/100)+MAX(0,K7-6000000)*('Rate Design'!$I$7/100)+'Rate Design'!$I$9+K73*'Rate Design'!$I$10-0.2*K48</f>
        <v>141196.54110050001</v>
      </c>
      <c r="L135" s="377">
        <f>500000*('Rate Design'!$I$5/100)+MIN(5500000,L7-500000)*('Rate Design'!$I$6/100)+MAX(0,L7-6000000)*('Rate Design'!$I$7/100)+'Rate Design'!$I$9+L73*'Rate Design'!$I$10-0.2*L48</f>
        <v>158264.86163761001</v>
      </c>
      <c r="M135" s="377">
        <f>500000*('Rate Design'!$I$5/100)+MIN(5500000,M7-500000)*('Rate Design'!$I$6/100)+MAX(0,M7-6000000)*('Rate Design'!$I$7/100)+'Rate Design'!$I$9+M73*'Rate Design'!$I$10-0.2*M48</f>
        <v>144136.55226199995</v>
      </c>
      <c r="N135" s="377">
        <f>500000*('Rate Design'!$I$5/100)+MIN(5500000,N7-500000)*('Rate Design'!$I$6/100)+MAX(0,N7-6000000)*('Rate Design'!$I$7/100)+'Rate Design'!$I$9+N73*'Rate Design'!$I$10-0.2*N48</f>
        <v>148449.13402500001</v>
      </c>
      <c r="O135" s="377">
        <f>500000*('Rate Design'!$I$5/100)+MIN(5500000,O7-500000)*('Rate Design'!$I$6/100)+MAX(0,O7-6000000)*('Rate Design'!$I$7/100)+'Rate Design'!$I$9+O73*'Rate Design'!$I$10-0.2*O48</f>
        <v>142375.76634699997</v>
      </c>
      <c r="P135" s="42">
        <f t="shared" si="62"/>
        <v>1725672.8450233599</v>
      </c>
      <c r="T135" s="845"/>
    </row>
    <row r="136" spans="1:20">
      <c r="A136" s="627">
        <v>5</v>
      </c>
      <c r="B136" s="380">
        <f t="shared" si="61"/>
        <v>0</v>
      </c>
      <c r="C136" s="308"/>
      <c r="D136" s="377">
        <f>500000*('Rate Design'!$I$5/100)+MIN(5500000,D8-500000)*('Rate Design'!$I$6/100)+MAX(0,D8-6000000)*('Rate Design'!$I$7/100)+'Rate Design'!$I$9+D74*'Rate Design'!$I$10-0.2*D49</f>
        <v>147032.6061535</v>
      </c>
      <c r="E136" s="377">
        <f>500000*('Rate Design'!$I$5/100)+MIN(5500000,E8-500000)*('Rate Design'!$I$6/100)+MAX(0,E8-6000000)*('Rate Design'!$I$7/100)+'Rate Design'!$I$9+E74*'Rate Design'!$I$10-0.2*E49</f>
        <v>145334.99301949999</v>
      </c>
      <c r="F136" s="377">
        <f>500000*('Rate Design'!$I$5/100)+MIN(5500000,F8-500000)*('Rate Design'!$I$6/100)+MAX(0,F8-6000000)*('Rate Design'!$I$7/100)+'Rate Design'!$I$9+F74*'Rate Design'!$I$10-0.2*F49</f>
        <v>132503.84118250001</v>
      </c>
      <c r="G136" s="377">
        <f>500000*('Rate Design'!$I$5/100)+MIN(5500000,G8-500000)*('Rate Design'!$I$6/100)+MAX(0,G8-6000000)*('Rate Design'!$I$7/100)+'Rate Design'!$I$9+G74*'Rate Design'!$I$10-0.2*G49</f>
        <v>117970.0263265</v>
      </c>
      <c r="H136" s="377">
        <f>500000*('Rate Design'!$I$5/100)+MIN(5500000,H8-500000)*('Rate Design'!$I$6/100)+MAX(0,H8-6000000)*('Rate Design'!$I$7/100)+'Rate Design'!$I$9+H74*'Rate Design'!$I$10-0.2*H49</f>
        <v>116752.28350636999</v>
      </c>
      <c r="I136" s="377">
        <f>500000*('Rate Design'!$I$5/100)+MIN(5500000,I8-500000)*('Rate Design'!$I$6/100)+MAX(0,I8-6000000)*('Rate Design'!$I$7/100)+'Rate Design'!$I$9+I74*'Rate Design'!$I$10-0.2*I49</f>
        <v>122446.486303</v>
      </c>
      <c r="J136" s="377">
        <f>500000*('Rate Design'!$I$5/100)+MIN(5500000,J8-500000)*('Rate Design'!$I$6/100)+MAX(0,J8-6000000)*('Rate Design'!$I$7/100)+'Rate Design'!$I$9+J74*'Rate Design'!$I$10-0.2*J49</f>
        <v>119870.33702699999</v>
      </c>
      <c r="K136" s="377">
        <f>500000*('Rate Design'!$I$5/100)+MIN(5500000,K8-500000)*('Rate Design'!$I$6/100)+MAX(0,K8-6000000)*('Rate Design'!$I$7/100)+'Rate Design'!$I$9+K74*'Rate Design'!$I$10-0.2*K49</f>
        <v>115029.92340299999</v>
      </c>
      <c r="L136" s="377">
        <f>500000*('Rate Design'!$I$5/100)+MIN(5500000,L8-500000)*('Rate Design'!$I$6/100)+MAX(0,L8-6000000)*('Rate Design'!$I$7/100)+'Rate Design'!$I$9+L74*'Rate Design'!$I$10-0.2*L49</f>
        <v>122351.30707474001</v>
      </c>
      <c r="M136" s="377">
        <f>500000*('Rate Design'!$I$5/100)+MIN(5500000,M8-500000)*('Rate Design'!$I$6/100)+MAX(0,M8-6000000)*('Rate Design'!$I$7/100)+'Rate Design'!$I$9+M74*'Rate Design'!$I$10-0.2*M49</f>
        <v>119371.5701495</v>
      </c>
      <c r="N136" s="377">
        <f>500000*('Rate Design'!$I$5/100)+MIN(5500000,N8-500000)*('Rate Design'!$I$6/100)+MAX(0,N8-6000000)*('Rate Design'!$I$7/100)+'Rate Design'!$I$9+N74*'Rate Design'!$I$10-0.2*N49</f>
        <v>137418.34630949996</v>
      </c>
      <c r="O136" s="377">
        <f>500000*('Rate Design'!$I$5/100)+MIN(5500000,O8-500000)*('Rate Design'!$I$6/100)+MAX(0,O8-6000000)*('Rate Design'!$I$7/100)+'Rate Design'!$I$9+O74*'Rate Design'!$I$10-0.2*O49</f>
        <v>138213.22907999999</v>
      </c>
      <c r="P136" s="42">
        <f t="shared" si="62"/>
        <v>1534294.94953511</v>
      </c>
      <c r="T136" s="845"/>
    </row>
    <row r="137" spans="1:20">
      <c r="A137" s="627">
        <v>6</v>
      </c>
      <c r="B137" s="380">
        <f t="shared" si="61"/>
        <v>0</v>
      </c>
      <c r="C137" s="308"/>
      <c r="D137" s="377">
        <f>500000*('Rate Design'!$I$5/100)+MIN(5500000,D9-500000)*('Rate Design'!$I$6/100)+MAX(0,D9-6000000)*('Rate Design'!$I$7/100)+'Rate Design'!$I$9+D75*'Rate Design'!$I$10-0.2*D50</f>
        <v>159455.77035799998</v>
      </c>
      <c r="E137" s="377">
        <f>500000*('Rate Design'!$I$5/100)+MIN(5500000,E9-500000)*('Rate Design'!$I$6/100)+MAX(0,E9-6000000)*('Rate Design'!$I$7/100)+'Rate Design'!$I$9+E75*'Rate Design'!$I$10-0.2*E50</f>
        <v>183735.78642600001</v>
      </c>
      <c r="F137" s="377">
        <f>500000*('Rate Design'!$I$5/100)+MIN(5500000,F9-500000)*('Rate Design'!$I$6/100)+MAX(0,F9-6000000)*('Rate Design'!$I$7/100)+'Rate Design'!$I$9+F75*'Rate Design'!$I$10-0.2*F50</f>
        <v>180642.848256</v>
      </c>
      <c r="G137" s="377">
        <f>500000*('Rate Design'!$I$5/100)+MIN(5500000,G9-500000)*('Rate Design'!$I$6/100)+MAX(0,G9-6000000)*('Rate Design'!$I$7/100)+'Rate Design'!$I$9+G75*'Rate Design'!$I$10-0.2*G50</f>
        <v>168933.71302799997</v>
      </c>
      <c r="H137" s="377">
        <f>500000*('Rate Design'!$I$5/100)+MIN(5500000,H9-500000)*('Rate Design'!$I$6/100)+MAX(0,H9-6000000)*('Rate Design'!$I$7/100)+'Rate Design'!$I$9+H75*'Rate Design'!$I$10-0.2*H50</f>
        <v>175370.66389799997</v>
      </c>
      <c r="I137" s="377">
        <f>500000*('Rate Design'!$I$5/100)+MIN(5500000,I9-500000)*('Rate Design'!$I$6/100)+MAX(0,I9-6000000)*('Rate Design'!$I$7/100)+'Rate Design'!$I$9+I75*'Rate Design'!$I$10-0.2*I50</f>
        <v>186021.64411199998</v>
      </c>
      <c r="J137" s="377">
        <f>500000*('Rate Design'!$I$5/100)+MIN(5500000,J9-500000)*('Rate Design'!$I$6/100)+MAX(0,J9-6000000)*('Rate Design'!$I$7/100)+'Rate Design'!$I$9+J75*'Rate Design'!$I$10-0.2*J50</f>
        <v>175359.21940199999</v>
      </c>
      <c r="K137" s="377">
        <f>500000*('Rate Design'!$I$5/100)+MIN(5500000,K9-500000)*('Rate Design'!$I$6/100)+MAX(0,K9-6000000)*('Rate Design'!$I$7/100)+'Rate Design'!$I$9+K75*'Rate Design'!$I$10-0.2*K50</f>
        <v>175085.74351399997</v>
      </c>
      <c r="L137" s="377">
        <f>500000*('Rate Design'!$I$5/100)+MIN(5500000,L9-500000)*('Rate Design'!$I$6/100)+MAX(0,L9-6000000)*('Rate Design'!$I$7/100)+'Rate Design'!$I$9+L75*'Rate Design'!$I$10-0.2*L50</f>
        <v>166384.25975589003</v>
      </c>
      <c r="M137" s="377">
        <f>500000*('Rate Design'!$I$5/100)+MIN(5500000,M9-500000)*('Rate Design'!$I$6/100)+MAX(0,M9-6000000)*('Rate Design'!$I$7/100)+'Rate Design'!$I$9+M75*'Rate Design'!$I$10-0.2*M50</f>
        <v>159684.88478199998</v>
      </c>
      <c r="N137" s="377">
        <f>500000*('Rate Design'!$I$5/100)+MIN(5500000,N9-500000)*('Rate Design'!$I$6/100)+MAX(0,N9-6000000)*('Rate Design'!$I$7/100)+'Rate Design'!$I$9+N75*'Rate Design'!$I$10-0.2*N50</f>
        <v>158210.89179999998</v>
      </c>
      <c r="O137" s="377">
        <f>500000*('Rate Design'!$I$5/100)+MIN(5500000,O9-500000)*('Rate Design'!$I$6/100)+MAX(0,O9-6000000)*('Rate Design'!$I$7/100)+'Rate Design'!$I$9+O75*'Rate Design'!$I$10-0.2*O50</f>
        <v>136489.815738</v>
      </c>
      <c r="P137" s="42">
        <f t="shared" si="62"/>
        <v>2025375.2410698901</v>
      </c>
      <c r="T137" s="845"/>
    </row>
    <row r="138" spans="1:20">
      <c r="A138" s="627">
        <v>7</v>
      </c>
      <c r="B138" s="380">
        <f t="shared" si="61"/>
        <v>0</v>
      </c>
      <c r="C138" s="308"/>
      <c r="D138" s="377">
        <f>500000*('Rate Design'!$I$5/100)+MIN(5500000,D10-500000)*('Rate Design'!$I$6/100)+MAX(0,D10-6000000)*('Rate Design'!$I$7/100)+'Rate Design'!$I$9+D76*'Rate Design'!$I$10-0.2*D51</f>
        <v>150278.72666399999</v>
      </c>
      <c r="E138" s="377">
        <f>500000*('Rate Design'!$I$5/100)+MIN(5500000,E10-500000)*('Rate Design'!$I$6/100)+MAX(0,E10-6000000)*('Rate Design'!$I$7/100)+'Rate Design'!$I$9+E76*'Rate Design'!$I$10-0.2*E51</f>
        <v>155411.62582700001</v>
      </c>
      <c r="F138" s="377">
        <f>500000*('Rate Design'!$I$5/100)+MIN(5500000,F10-500000)*('Rate Design'!$I$6/100)+MAX(0,F10-6000000)*('Rate Design'!$I$7/100)+'Rate Design'!$I$9+F76*'Rate Design'!$I$10-0.2*F51</f>
        <v>146498.51095199998</v>
      </c>
      <c r="G138" s="377">
        <f>500000*('Rate Design'!$I$5/100)+MIN(5500000,G10-500000)*('Rate Design'!$I$6/100)+MAX(0,G10-6000000)*('Rate Design'!$I$7/100)+'Rate Design'!$I$9+G76*'Rate Design'!$I$10-0.2*G51</f>
        <v>140848.49584699995</v>
      </c>
      <c r="H138" s="377">
        <f>500000*('Rate Design'!$I$5/100)+MIN(5500000,H10-500000)*('Rate Design'!$I$6/100)+MAX(0,H10-6000000)*('Rate Design'!$I$7/100)+'Rate Design'!$I$9+H76*'Rate Design'!$I$10-0.2*H51</f>
        <v>135118.56050299999</v>
      </c>
      <c r="I138" s="377">
        <f>500000*('Rate Design'!$I$5/100)+MIN(5500000,I10-500000)*('Rate Design'!$I$6/100)+MAX(0,I10-6000000)*('Rate Design'!$I$7/100)+'Rate Design'!$I$9+I76*'Rate Design'!$I$10-0.2*I51</f>
        <v>141320.57049899999</v>
      </c>
      <c r="J138" s="377">
        <f>500000*('Rate Design'!$I$5/100)+MIN(5500000,J10-500000)*('Rate Design'!$I$6/100)+MAX(0,J10-6000000)*('Rate Design'!$I$7/100)+'Rate Design'!$I$9+J76*'Rate Design'!$I$10-0.2*J51</f>
        <v>139604.80086300001</v>
      </c>
      <c r="K138" s="377">
        <f>500000*('Rate Design'!$I$5/100)+MIN(5500000,K10-500000)*('Rate Design'!$I$6/100)+MAX(0,K10-6000000)*('Rate Design'!$I$7/100)+'Rate Design'!$I$9+K76*'Rate Design'!$I$10-0.2*K51</f>
        <v>123998.23241700001</v>
      </c>
      <c r="L138" s="377">
        <f>500000*('Rate Design'!$I$5/100)+MIN(5500000,L10-500000)*('Rate Design'!$I$6/100)+MAX(0,L10-6000000)*('Rate Design'!$I$7/100)+'Rate Design'!$I$9+L76*'Rate Design'!$I$10-0.2*L51</f>
        <v>129990.24780721999</v>
      </c>
      <c r="M138" s="377">
        <f>500000*('Rate Design'!$I$5/100)+MIN(5500000,M10-500000)*('Rate Design'!$I$6/100)+MAX(0,M10-6000000)*('Rate Design'!$I$7/100)+'Rate Design'!$I$9+M76*'Rate Design'!$I$10-0.2*M51</f>
        <v>122773.87708200001</v>
      </c>
      <c r="N138" s="377">
        <f>500000*('Rate Design'!$I$5/100)+MIN(5500000,N10-500000)*('Rate Design'!$I$6/100)+MAX(0,N10-6000000)*('Rate Design'!$I$7/100)+'Rate Design'!$I$9+N76*'Rate Design'!$I$10-0.2*N51</f>
        <v>115993.38503499998</v>
      </c>
      <c r="O138" s="377">
        <f>500000*('Rate Design'!$I$5/100)+MIN(5500000,O10-500000)*('Rate Design'!$I$6/100)+MAX(0,O10-6000000)*('Rate Design'!$I$7/100)+'Rate Design'!$I$9+O76*'Rate Design'!$I$10-0.2*O51</f>
        <v>127694.54137599999</v>
      </c>
      <c r="P138" s="42">
        <f t="shared" si="62"/>
        <v>1629531.5748722202</v>
      </c>
      <c r="T138" s="845"/>
    </row>
    <row r="139" spans="1:20">
      <c r="A139" s="627">
        <v>8</v>
      </c>
      <c r="B139" s="380">
        <f t="shared" si="61"/>
        <v>0</v>
      </c>
      <c r="C139" s="308"/>
      <c r="D139" s="377">
        <f>500000*('Rate Design'!$I$5/100)+MIN(5500000,D11-500000)*('Rate Design'!$I$6/100)+MAX(0,D11-6000000)*('Rate Design'!$I$7/100)+'Rate Design'!$I$9+D77*'Rate Design'!$I$10-0.2*D52</f>
        <v>111812.25870099998</v>
      </c>
      <c r="E139" s="377">
        <f>500000*('Rate Design'!$I$5/100)+MIN(5500000,E11-500000)*('Rate Design'!$I$6/100)+MAX(0,E11-6000000)*('Rate Design'!$I$7/100)+'Rate Design'!$I$9+E77*'Rate Design'!$I$10-0.2*E52</f>
        <v>120799.93768099998</v>
      </c>
      <c r="F139" s="377">
        <f>500000*('Rate Design'!$I$5/100)+MIN(5500000,F11-500000)*('Rate Design'!$I$6/100)+MAX(0,F11-6000000)*('Rate Design'!$I$7/100)+'Rate Design'!$I$9+F77*'Rate Design'!$I$10-0.2*F52</f>
        <v>113450.53287699999</v>
      </c>
      <c r="G139" s="377">
        <f>500000*('Rate Design'!$I$5/100)+MIN(5500000,G11-500000)*('Rate Design'!$I$6/100)+MAX(0,G11-6000000)*('Rate Design'!$I$7/100)+'Rate Design'!$I$9+G77*'Rate Design'!$I$10-0.2*G52</f>
        <v>105984.293278</v>
      </c>
      <c r="H139" s="377">
        <f>500000*('Rate Design'!$I$5/100)+MIN(5500000,H11-500000)*('Rate Design'!$I$6/100)+MAX(0,H11-6000000)*('Rate Design'!$I$7/100)+'Rate Design'!$I$9+H77*'Rate Design'!$I$10-0.2*H52</f>
        <v>103910.440126</v>
      </c>
      <c r="I139" s="377">
        <f>500000*('Rate Design'!$I$5/100)+MIN(5500000,I11-500000)*('Rate Design'!$I$6/100)+MAX(0,I11-6000000)*('Rate Design'!$I$7/100)+'Rate Design'!$I$9+I77*'Rate Design'!$I$10-0.2*I52</f>
        <v>101967.009462</v>
      </c>
      <c r="J139" s="377">
        <f>500000*('Rate Design'!$I$5/100)+MIN(5500000,J11-500000)*('Rate Design'!$I$6/100)+MAX(0,J11-6000000)*('Rate Design'!$I$7/100)+'Rate Design'!$I$9+J77*'Rate Design'!$I$10-0.2*J52</f>
        <v>97125.059747999985</v>
      </c>
      <c r="K139" s="377">
        <f>500000*('Rate Design'!$I$5/100)+MIN(5500000,K11-500000)*('Rate Design'!$I$6/100)+MAX(0,K11-6000000)*('Rate Design'!$I$7/100)+'Rate Design'!$I$9+K77*'Rate Design'!$I$10-0.2*K52</f>
        <v>93222.991347000003</v>
      </c>
      <c r="L139" s="377">
        <f>500000*('Rate Design'!$I$5/100)+MIN(5500000,L11-500000)*('Rate Design'!$I$6/100)+MAX(0,L11-6000000)*('Rate Design'!$I$7/100)+'Rate Design'!$I$9+L77*'Rate Design'!$I$10-0.2*L52</f>
        <v>105584.59815651999</v>
      </c>
      <c r="M139" s="377">
        <f>500000*('Rate Design'!$I$5/100)+MIN(5500000,M11-500000)*('Rate Design'!$I$6/100)+MAX(0,M11-6000000)*('Rate Design'!$I$7/100)+'Rate Design'!$I$9+M77*'Rate Design'!$I$10-0.2*M52</f>
        <v>96325.019087000008</v>
      </c>
      <c r="N139" s="377">
        <f>500000*('Rate Design'!$I$5/100)+MIN(5500000,N11-500000)*('Rate Design'!$I$6/100)+MAX(0,N11-6000000)*('Rate Design'!$I$7/100)+'Rate Design'!$I$9+N77*'Rate Design'!$I$10-0.2*N52</f>
        <v>102452.21576399999</v>
      </c>
      <c r="O139" s="377">
        <f>500000*('Rate Design'!$I$5/100)+MIN(5500000,O11-500000)*('Rate Design'!$I$6/100)+MAX(0,O11-6000000)*('Rate Design'!$I$7/100)+'Rate Design'!$I$9+O77*'Rate Design'!$I$10-0.2*O52</f>
        <v>104497.81303799999</v>
      </c>
      <c r="P139" s="42">
        <f t="shared" si="62"/>
        <v>1257132.1692655198</v>
      </c>
      <c r="T139" s="845"/>
    </row>
    <row r="140" spans="1:20">
      <c r="A140" s="627">
        <v>9</v>
      </c>
      <c r="B140" s="380">
        <f t="shared" si="61"/>
        <v>0</v>
      </c>
      <c r="C140" s="308"/>
      <c r="D140" s="377">
        <f>500000*('Rate Design'!$I$5/100)+MIN(5500000,D12-500000)*('Rate Design'!$I$6/100)+MAX(0,D12-6000000)*('Rate Design'!$I$7/100)+'Rate Design'!$I$9+D78*'Rate Design'!$I$10-0.2*D53</f>
        <v>306771.40818399994</v>
      </c>
      <c r="E140" s="377">
        <f>500000*('Rate Design'!$I$5/100)+MIN(5500000,E12-500000)*('Rate Design'!$I$6/100)+MAX(0,E12-6000000)*('Rate Design'!$I$7/100)+'Rate Design'!$I$9+E78*'Rate Design'!$I$10-0.2*E53</f>
        <v>384345.75581099995</v>
      </c>
      <c r="F140" s="377">
        <f>500000*('Rate Design'!$I$5/100)+MIN(5500000,F12-500000)*('Rate Design'!$I$6/100)+MAX(0,F12-6000000)*('Rate Design'!$I$7/100)+'Rate Design'!$I$9+F78*'Rate Design'!$I$10-0.2*F53</f>
        <v>376563.05817499995</v>
      </c>
      <c r="G140" s="377">
        <f>500000*('Rate Design'!$I$5/100)+MIN(5500000,G12-500000)*('Rate Design'!$I$6/100)+MAX(0,G12-6000000)*('Rate Design'!$I$7/100)+'Rate Design'!$I$9+G78*'Rate Design'!$I$10-0.2*G53</f>
        <v>379815.71681499993</v>
      </c>
      <c r="H140" s="377">
        <f>500000*('Rate Design'!$I$5/100)+MIN(5500000,H12-500000)*('Rate Design'!$I$6/100)+MAX(0,H12-6000000)*('Rate Design'!$I$7/100)+'Rate Design'!$I$9+H78*'Rate Design'!$I$10-0.2*H53</f>
        <v>356182.48491299996</v>
      </c>
      <c r="I140" s="377">
        <f>500000*('Rate Design'!$I$5/100)+MIN(5500000,I12-500000)*('Rate Design'!$I$6/100)+MAX(0,I12-6000000)*('Rate Design'!$I$7/100)+'Rate Design'!$I$9+I78*'Rate Design'!$I$10-0.2*I53</f>
        <v>317466.20942699997</v>
      </c>
      <c r="J140" s="377">
        <f>500000*('Rate Design'!$I$5/100)+MIN(5500000,J12-500000)*('Rate Design'!$I$6/100)+MAX(0,J12-6000000)*('Rate Design'!$I$7/100)+'Rate Design'!$I$9+J78*'Rate Design'!$I$10-0.2*J53</f>
        <v>361601.46529799991</v>
      </c>
      <c r="K140" s="377">
        <f>500000*('Rate Design'!$I$5/100)+MIN(5500000,K12-500000)*('Rate Design'!$I$6/100)+MAX(0,K12-6000000)*('Rate Design'!$I$7/100)+'Rate Design'!$I$9+K78*'Rate Design'!$I$10-0.2*K53</f>
        <v>338187.87257100001</v>
      </c>
      <c r="L140" s="377">
        <f>500000*('Rate Design'!$I$5/100)+MIN(5500000,L12-500000)*('Rate Design'!$I$6/100)+MAX(0,L12-6000000)*('Rate Design'!$I$7/100)+'Rate Design'!$I$9+L78*'Rate Design'!$I$10-0.2*L53</f>
        <v>367806.56473162997</v>
      </c>
      <c r="M140" s="377">
        <f>500000*('Rate Design'!$I$5/100)+MIN(5500000,M12-500000)*('Rate Design'!$I$6/100)+MAX(0,M12-6000000)*('Rate Design'!$I$7/100)+'Rate Design'!$I$9+M78*'Rate Design'!$I$10-0.2*M53</f>
        <v>365030.02044199995</v>
      </c>
      <c r="N140" s="377">
        <f>500000*('Rate Design'!$I$5/100)+MIN(5500000,N12-500000)*('Rate Design'!$I$6/100)+MAX(0,N12-6000000)*('Rate Design'!$I$7/100)+'Rate Design'!$I$9+N78*'Rate Design'!$I$10-0.2*N53</f>
        <v>326398.07173699996</v>
      </c>
      <c r="O140" s="377">
        <f>500000*('Rate Design'!$I$5/100)+MIN(5500000,O12-500000)*('Rate Design'!$I$6/100)+MAX(0,O12-6000000)*('Rate Design'!$I$7/100)+'Rate Design'!$I$9+O78*'Rate Design'!$I$10-0.2*O53</f>
        <v>377640.8004769999</v>
      </c>
      <c r="P140" s="42">
        <f t="shared" si="62"/>
        <v>4257809.4285816289</v>
      </c>
      <c r="T140" s="845"/>
    </row>
    <row r="141" spans="1:20">
      <c r="A141" s="627">
        <v>10</v>
      </c>
      <c r="B141" s="380">
        <f t="shared" si="61"/>
        <v>0</v>
      </c>
      <c r="C141" s="308"/>
      <c r="D141" s="377">
        <f>500000*('Rate Design'!$I$5/100)+MIN(5500000,D13-500000)*('Rate Design'!$I$6/100)+MAX(0,D13-6000000)*('Rate Design'!$I$7/100)+'Rate Design'!$I$9+D79*'Rate Design'!$I$10-0.2*D54</f>
        <v>416561.141321</v>
      </c>
      <c r="E141" s="377">
        <f>500000*('Rate Design'!$I$5/100)+MIN(5500000,E13-500000)*('Rate Design'!$I$6/100)+MAX(0,E13-6000000)*('Rate Design'!$I$7/100)+'Rate Design'!$I$9+E79*'Rate Design'!$I$10-0.2*E54</f>
        <v>547882.26294199994</v>
      </c>
      <c r="F141" s="377">
        <f>500000*('Rate Design'!$I$5/100)+MIN(5500000,F13-500000)*('Rate Design'!$I$6/100)+MAX(0,F13-6000000)*('Rate Design'!$I$7/100)+'Rate Design'!$I$9+F79*'Rate Design'!$I$10-0.2*F54</f>
        <v>543669.139524</v>
      </c>
      <c r="G141" s="377">
        <f>500000*('Rate Design'!$I$5/100)+MIN(5500000,G13-500000)*('Rate Design'!$I$6/100)+MAX(0,G13-6000000)*('Rate Design'!$I$7/100)+'Rate Design'!$I$9+G79*'Rate Design'!$I$10-0.2*G54</f>
        <v>527456.74697099987</v>
      </c>
      <c r="H141" s="377">
        <f>500000*('Rate Design'!$I$5/100)+MIN(5500000,H13-500000)*('Rate Design'!$I$6/100)+MAX(0,H13-6000000)*('Rate Design'!$I$7/100)+'Rate Design'!$I$9+H79*'Rate Design'!$I$10-0.2*H54</f>
        <v>479209.04156299995</v>
      </c>
      <c r="I141" s="377">
        <f>500000*('Rate Design'!$I$5/100)+MIN(5500000,I13-500000)*('Rate Design'!$I$6/100)+MAX(0,I13-6000000)*('Rate Design'!$I$7/100)+'Rate Design'!$I$9+I79*'Rate Design'!$I$10-0.2*I54</f>
        <v>452950.72434499994</v>
      </c>
      <c r="J141" s="377">
        <f>500000*('Rate Design'!$I$5/100)+MIN(5500000,J13-500000)*('Rate Design'!$I$6/100)+MAX(0,J13-6000000)*('Rate Design'!$I$7/100)+'Rate Design'!$I$9+J79*'Rate Design'!$I$10-0.2*J54</f>
        <v>549150.201642</v>
      </c>
      <c r="K141" s="377">
        <f>500000*('Rate Design'!$I$5/100)+MIN(5500000,K13-500000)*('Rate Design'!$I$6/100)+MAX(0,K13-6000000)*('Rate Design'!$I$7/100)+'Rate Design'!$I$9+K79*'Rate Design'!$I$10-0.2*K54</f>
        <v>510313.93045499997</v>
      </c>
      <c r="L141" s="377">
        <f>500000*('Rate Design'!$I$5/100)+MIN(5500000,L13-500000)*('Rate Design'!$I$6/100)+MAX(0,L13-6000000)*('Rate Design'!$I$7/100)+'Rate Design'!$I$9+L79*'Rate Design'!$I$10-0.2*L54</f>
        <v>509563.26353730989</v>
      </c>
      <c r="M141" s="377">
        <f>500000*('Rate Design'!$I$5/100)+MIN(5500000,M13-500000)*('Rate Design'!$I$6/100)+MAX(0,M13-6000000)*('Rate Design'!$I$7/100)+'Rate Design'!$I$9+M79*'Rate Design'!$I$10-0.2*M54</f>
        <v>512950.68286</v>
      </c>
      <c r="N141" s="377">
        <f>500000*('Rate Design'!$I$5/100)+MIN(5500000,N13-500000)*('Rate Design'!$I$6/100)+MAX(0,N13-6000000)*('Rate Design'!$I$7/100)+'Rate Design'!$I$9+N79*'Rate Design'!$I$10-0.2*N54</f>
        <v>550714.38340799999</v>
      </c>
      <c r="O141" s="377">
        <f>500000*('Rate Design'!$I$5/100)+MIN(5500000,O13-500000)*('Rate Design'!$I$6/100)+MAX(0,O13-6000000)*('Rate Design'!$I$7/100)+'Rate Design'!$I$9+O79*'Rate Design'!$I$10-0.2*O54</f>
        <v>563018.47569099988</v>
      </c>
      <c r="P141" s="42">
        <f t="shared" si="62"/>
        <v>6163439.99425931</v>
      </c>
      <c r="T141" s="845"/>
    </row>
    <row r="142" spans="1:20">
      <c r="A142" s="627">
        <v>11</v>
      </c>
      <c r="B142" s="380">
        <f t="shared" si="61"/>
        <v>0</v>
      </c>
      <c r="C142" s="308"/>
      <c r="D142" s="377">
        <f>500000*('Rate Design'!$I$5/100)+MIN(5500000,D14-500000)*('Rate Design'!$I$6/100)+MAX(0,D14-6000000)*('Rate Design'!$I$7/100)+'Rate Design'!$I$9+D80*'Rate Design'!$I$10-0.2*D55</f>
        <v>291212.88184749999</v>
      </c>
      <c r="E142" s="377">
        <f>500000*('Rate Design'!$I$5/100)+MIN(5500000,E14-500000)*('Rate Design'!$I$6/100)+MAX(0,E14-6000000)*('Rate Design'!$I$7/100)+'Rate Design'!$I$9+E80*'Rate Design'!$I$10-0.2*E55</f>
        <v>295753.18768399995</v>
      </c>
      <c r="F142" s="377">
        <f>500000*('Rate Design'!$I$5/100)+MIN(5500000,F14-500000)*('Rate Design'!$I$6/100)+MAX(0,F14-6000000)*('Rate Design'!$I$7/100)+'Rate Design'!$I$9+F80*'Rate Design'!$I$10-0.2*F55</f>
        <v>255474.89192699999</v>
      </c>
      <c r="G142" s="377">
        <f>500000*('Rate Design'!$I$5/100)+MIN(5500000,G14-500000)*('Rate Design'!$I$6/100)+MAX(0,G14-6000000)*('Rate Design'!$I$7/100)+'Rate Design'!$I$9+G80*'Rate Design'!$I$10-0.2*G55</f>
        <v>233889.51574050001</v>
      </c>
      <c r="H142" s="377">
        <f>500000*('Rate Design'!$I$5/100)+MIN(5500000,H14-500000)*('Rate Design'!$I$6/100)+MAX(0,H14-6000000)*('Rate Design'!$I$7/100)+'Rate Design'!$I$9+H80*'Rate Design'!$I$10-0.2*H55</f>
        <v>211781.10126386999</v>
      </c>
      <c r="I142" s="377">
        <f>500000*('Rate Design'!$I$5/100)+MIN(5500000,I14-500000)*('Rate Design'!$I$6/100)+MAX(0,I14-6000000)*('Rate Design'!$I$7/100)+'Rate Design'!$I$9+I80*'Rate Design'!$I$10-0.2*I55</f>
        <v>217744.44831949999</v>
      </c>
      <c r="J142" s="377">
        <f>500000*('Rate Design'!$I$5/100)+MIN(5500000,J14-500000)*('Rate Design'!$I$6/100)+MAX(0,J14-6000000)*('Rate Design'!$I$7/100)+'Rate Design'!$I$9+J80*'Rate Design'!$I$10-0.2*J55</f>
        <v>211791.52275</v>
      </c>
      <c r="K142" s="377">
        <f>500000*('Rate Design'!$I$5/100)+MIN(5500000,K14-500000)*('Rate Design'!$I$6/100)+MAX(0,K14-6000000)*('Rate Design'!$I$7/100)+'Rate Design'!$I$9+K80*'Rate Design'!$I$10-0.2*K55</f>
        <v>199570.93281949998</v>
      </c>
      <c r="L142" s="377">
        <f>500000*('Rate Design'!$I$5/100)+MIN(5500000,L14-500000)*('Rate Design'!$I$6/100)+MAX(0,L14-6000000)*('Rate Design'!$I$7/100)+'Rate Design'!$I$9+L80*'Rate Design'!$I$10-0.2*L55</f>
        <v>213864.49168362</v>
      </c>
      <c r="M142" s="377">
        <f>500000*('Rate Design'!$I$5/100)+MIN(5500000,M14-500000)*('Rate Design'!$I$6/100)+MAX(0,M14-6000000)*('Rate Design'!$I$7/100)+'Rate Design'!$I$9+M80*'Rate Design'!$I$10-0.2*M55</f>
        <v>218730.88645399996</v>
      </c>
      <c r="N142" s="377">
        <f>500000*('Rate Design'!$I$5/100)+MIN(5500000,N14-500000)*('Rate Design'!$I$6/100)+MAX(0,N14-6000000)*('Rate Design'!$I$7/100)+'Rate Design'!$I$9+N80*'Rate Design'!$I$10-0.2*N55</f>
        <v>256675.87297049997</v>
      </c>
      <c r="O142" s="377">
        <f>500000*('Rate Design'!$I$5/100)+MIN(5500000,O14-500000)*('Rate Design'!$I$6/100)+MAX(0,O14-6000000)*('Rate Design'!$I$7/100)+'Rate Design'!$I$9+O80*'Rate Design'!$I$10-0.2*O55</f>
        <v>258003.14785299997</v>
      </c>
      <c r="P142" s="42">
        <f t="shared" si="62"/>
        <v>2864492.8813129901</v>
      </c>
      <c r="T142" s="845"/>
    </row>
    <row r="143" spans="1:20">
      <c r="A143" s="627">
        <v>12</v>
      </c>
      <c r="B143" s="380">
        <f t="shared" si="61"/>
        <v>0</v>
      </c>
      <c r="C143" s="308"/>
      <c r="D143" s="377">
        <f>500000*('Rate Design'!$I$5/100)+MIN(5500000,D15-500000)*('Rate Design'!$I$6/100)+MAX(0,D15-6000000)*('Rate Design'!$I$7/100)+'Rate Design'!$I$9+D81*'Rate Design'!$I$10-0.2*D56</f>
        <v>102857.62451849999</v>
      </c>
      <c r="E143" s="377">
        <f>500000*('Rate Design'!$I$5/100)+MIN(5500000,E15-500000)*('Rate Design'!$I$6/100)+MAX(0,E15-6000000)*('Rate Design'!$I$7/100)+'Rate Design'!$I$9+E81*'Rate Design'!$I$10-0.2*E56</f>
        <v>106581.35421349999</v>
      </c>
      <c r="F143" s="377">
        <f>500000*('Rate Design'!$I$5/100)+MIN(5500000,F15-500000)*('Rate Design'!$I$6/100)+MAX(0,F15-6000000)*('Rate Design'!$I$7/100)+'Rate Design'!$I$9+F81*'Rate Design'!$I$10-0.2*F56</f>
        <v>96994.598982999989</v>
      </c>
      <c r="G143" s="377">
        <f>500000*('Rate Design'!$I$5/100)+MIN(5500000,G15-500000)*('Rate Design'!$I$6/100)+MAX(0,G15-6000000)*('Rate Design'!$I$7/100)+'Rate Design'!$I$9+G81*'Rate Design'!$I$10-0.2*G56</f>
        <v>91527.122853499997</v>
      </c>
      <c r="H143" s="377">
        <f>500000*('Rate Design'!$I$5/100)+MIN(5500000,H15-500000)*('Rate Design'!$I$6/100)+MAX(0,H15-6000000)*('Rate Design'!$I$7/100)+'Rate Design'!$I$9+H81*'Rate Design'!$I$10-0.2*H56</f>
        <v>84693.518508499998</v>
      </c>
      <c r="I143" s="377">
        <f>500000*('Rate Design'!$I$5/100)+MIN(5500000,I15-500000)*('Rate Design'!$I$6/100)+MAX(0,I15-6000000)*('Rate Design'!$I$7/100)+'Rate Design'!$I$9+I81*'Rate Design'!$I$10-0.2*I56</f>
        <v>87901.369441500006</v>
      </c>
      <c r="J143" s="377">
        <f>500000*('Rate Design'!$I$5/100)+MIN(5500000,J15-500000)*('Rate Design'!$I$6/100)+MAX(0,J15-6000000)*('Rate Design'!$I$7/100)+'Rate Design'!$I$9+J81*'Rate Design'!$I$10-0.2*J56</f>
        <v>87871.376503999985</v>
      </c>
      <c r="K143" s="377">
        <f>500000*('Rate Design'!$I$5/100)+MIN(5500000,K15-500000)*('Rate Design'!$I$6/100)+MAX(0,K15-6000000)*('Rate Design'!$I$7/100)+'Rate Design'!$I$9+K81*'Rate Design'!$I$10-0.2*K56</f>
        <v>83234.005432000005</v>
      </c>
      <c r="L143" s="377">
        <f>500000*('Rate Design'!$I$5/100)+MIN(5500000,L15-500000)*('Rate Design'!$I$6/100)+MAX(0,L15-6000000)*('Rate Design'!$I$7/100)+'Rate Design'!$I$9+L81*'Rate Design'!$I$10-0.2*L56</f>
        <v>87316.897729279997</v>
      </c>
      <c r="M143" s="377">
        <f>500000*('Rate Design'!$I$5/100)+MIN(5500000,M15-500000)*('Rate Design'!$I$6/100)+MAX(0,M15-6000000)*('Rate Design'!$I$7/100)+'Rate Design'!$I$9+M81*'Rate Design'!$I$10-0.2*M56</f>
        <v>86305.454184000002</v>
      </c>
      <c r="N143" s="377">
        <f>500000*('Rate Design'!$I$5/100)+MIN(5500000,N15-500000)*('Rate Design'!$I$6/100)+MAX(0,N15-6000000)*('Rate Design'!$I$7/100)+'Rate Design'!$I$9+N81*'Rate Design'!$I$10-0.2*N56</f>
        <v>99473.799105500002</v>
      </c>
      <c r="O143" s="377">
        <f>500000*('Rate Design'!$I$5/100)+MIN(5500000,O15-500000)*('Rate Design'!$I$6/100)+MAX(0,O15-6000000)*('Rate Design'!$I$7/100)+'Rate Design'!$I$9+O81*'Rate Design'!$I$10-0.2*O56</f>
        <v>100080.2456295</v>
      </c>
      <c r="P143" s="42">
        <f t="shared" si="62"/>
        <v>1114837.3671027799</v>
      </c>
      <c r="T143" s="845"/>
    </row>
    <row r="144" spans="1:20">
      <c r="A144" s="627">
        <v>13</v>
      </c>
      <c r="B144" s="380">
        <f t="shared" si="61"/>
        <v>0</v>
      </c>
      <c r="C144" s="308"/>
      <c r="D144" s="377">
        <f>500000*('Rate Design'!$I$5/100)+MIN(5500000,D16-500000)*('Rate Design'!$I$6/100)+MAX(0,D16-6000000)*('Rate Design'!$I$7/100)+'Rate Design'!$I$9+D82*'Rate Design'!$I$10-0.2*D57</f>
        <v>124775.353343</v>
      </c>
      <c r="E144" s="377">
        <f>500000*('Rate Design'!$I$5/100)+MIN(5500000,E16-500000)*('Rate Design'!$I$6/100)+MAX(0,E16-6000000)*('Rate Design'!$I$7/100)+'Rate Design'!$I$9+E82*'Rate Design'!$I$10-0.2*E57</f>
        <v>128694.17535</v>
      </c>
      <c r="F144" s="377">
        <f>500000*('Rate Design'!$I$5/100)+MIN(5500000,F16-500000)*('Rate Design'!$I$6/100)+MAX(0,F16-6000000)*('Rate Design'!$I$7/100)+'Rate Design'!$I$9+F82*'Rate Design'!$I$10-0.2*F57</f>
        <v>122289.839779</v>
      </c>
      <c r="G144" s="377">
        <f>500000*('Rate Design'!$I$5/100)+MIN(5500000,G16-500000)*('Rate Design'!$I$6/100)+MAX(0,G16-6000000)*('Rate Design'!$I$7/100)+'Rate Design'!$I$9+G82*'Rate Design'!$I$10-0.2*G57</f>
        <v>121111.43581</v>
      </c>
      <c r="H144" s="377">
        <f>500000*('Rate Design'!$I$5/100)+MIN(5500000,H16-500000)*('Rate Design'!$I$6/100)+MAX(0,H16-6000000)*('Rate Design'!$I$7/100)+'Rate Design'!$I$9+H82*'Rate Design'!$I$10-0.2*H57</f>
        <v>126443.03987349999</v>
      </c>
      <c r="I144" s="377">
        <f>500000*('Rate Design'!$I$5/100)+MIN(5500000,I16-500000)*('Rate Design'!$I$6/100)+MAX(0,I16-6000000)*('Rate Design'!$I$7/100)+'Rate Design'!$I$9+I82*'Rate Design'!$I$10-0.2*I57</f>
        <v>123464.75775900001</v>
      </c>
      <c r="J144" s="377">
        <f>500000*('Rate Design'!$I$5/100)+MIN(5500000,J16-500000)*('Rate Design'!$I$6/100)+MAX(0,J16-6000000)*('Rate Design'!$I$7/100)+'Rate Design'!$I$9+J82*'Rate Design'!$I$10-0.2*J57</f>
        <v>137114.15740499998</v>
      </c>
      <c r="K144" s="377">
        <f>500000*('Rate Design'!$I$5/100)+MIN(5500000,K16-500000)*('Rate Design'!$I$6/100)+MAX(0,K16-6000000)*('Rate Design'!$I$7/100)+'Rate Design'!$I$9+K82*'Rate Design'!$I$10-0.2*K57</f>
        <v>126719.05730900001</v>
      </c>
      <c r="L144" s="377">
        <f>500000*('Rate Design'!$I$5/100)+MIN(5500000,L16-500000)*('Rate Design'!$I$6/100)+MAX(0,L16-6000000)*('Rate Design'!$I$7/100)+'Rate Design'!$I$9+L82*'Rate Design'!$I$10-0.2*L57</f>
        <v>131455.82979706998</v>
      </c>
      <c r="M144" s="377">
        <f>500000*('Rate Design'!$I$5/100)+MIN(5500000,M16-500000)*('Rate Design'!$I$6/100)+MAX(0,M16-6000000)*('Rate Design'!$I$7/100)+'Rate Design'!$I$9+M82*'Rate Design'!$I$10-0.2*M57</f>
        <v>121055.75355199999</v>
      </c>
      <c r="N144" s="377">
        <f>500000*('Rate Design'!$I$5/100)+MIN(5500000,N16-500000)*('Rate Design'!$I$6/100)+MAX(0,N16-6000000)*('Rate Design'!$I$7/100)+'Rate Design'!$I$9+N82*'Rate Design'!$I$10-0.2*N57</f>
        <v>120283.73438799998</v>
      </c>
      <c r="O144" s="377">
        <f>500000*('Rate Design'!$I$5/100)+MIN(5500000,O16-500000)*('Rate Design'!$I$6/100)+MAX(0,O16-6000000)*('Rate Design'!$I$7/100)+'Rate Design'!$I$9+O82*'Rate Design'!$I$10-0.2*O57</f>
        <v>118172.16976199999</v>
      </c>
      <c r="P144" s="42">
        <f t="shared" si="62"/>
        <v>1501579.3041275698</v>
      </c>
      <c r="T144" s="845"/>
    </row>
    <row r="145" spans="1:20">
      <c r="A145" s="627">
        <v>14</v>
      </c>
      <c r="B145" s="380">
        <f t="shared" si="61"/>
        <v>0</v>
      </c>
      <c r="C145" s="308"/>
      <c r="D145" s="377">
        <f>500000*('Rate Design'!$I$5/100)+MIN(5500000,D17-500000)*('Rate Design'!$I$6/100)+MAX(0,D17-6000000)*('Rate Design'!$I$7/100)+'Rate Design'!$I$9+D83*'Rate Design'!$I$10-0.2*D58</f>
        <v>134138.89187600001</v>
      </c>
      <c r="E145" s="377">
        <f>500000*('Rate Design'!$I$5/100)+MIN(5500000,E17-500000)*('Rate Design'!$I$6/100)+MAX(0,E17-6000000)*('Rate Design'!$I$7/100)+'Rate Design'!$I$9+E83*'Rate Design'!$I$10-0.2*E58</f>
        <v>136220.21549799998</v>
      </c>
      <c r="F145" s="377">
        <f>500000*('Rate Design'!$I$5/100)+MIN(5500000,F17-500000)*('Rate Design'!$I$6/100)+MAX(0,F17-6000000)*('Rate Design'!$I$7/100)+'Rate Design'!$I$9+F83*'Rate Design'!$I$10-0.2*F58</f>
        <v>110055.130188</v>
      </c>
      <c r="G145" s="377">
        <f>500000*('Rate Design'!$I$5/100)+MIN(5500000,G17-500000)*('Rate Design'!$I$6/100)+MAX(0,G17-6000000)*('Rate Design'!$I$7/100)+'Rate Design'!$I$9+G83*'Rate Design'!$I$10-0.2*G58</f>
        <v>141729.84653399998</v>
      </c>
      <c r="H145" s="377">
        <f>500000*('Rate Design'!$I$5/100)+MIN(5500000,H17-500000)*('Rate Design'!$I$6/100)+MAX(0,H17-6000000)*('Rate Design'!$I$7/100)+'Rate Design'!$I$9+H83*'Rate Design'!$I$10-0.2*H58</f>
        <v>156697.90665336998</v>
      </c>
      <c r="I145" s="377">
        <f>500000*('Rate Design'!$I$5/100)+MIN(5500000,I17-500000)*('Rate Design'!$I$6/100)+MAX(0,I17-6000000)*('Rate Design'!$I$7/100)+'Rate Design'!$I$9+I83*'Rate Design'!$I$10-0.2*I58</f>
        <v>150005.90753</v>
      </c>
      <c r="J145" s="377">
        <f>500000*('Rate Design'!$I$5/100)+MIN(5500000,J17-500000)*('Rate Design'!$I$6/100)+MAX(0,J17-6000000)*('Rate Design'!$I$7/100)+'Rate Design'!$I$9+J83*'Rate Design'!$I$10-0.2*J58</f>
        <v>164372.70087999999</v>
      </c>
      <c r="K145" s="377">
        <f>500000*('Rate Design'!$I$5/100)+MIN(5500000,K17-500000)*('Rate Design'!$I$6/100)+MAX(0,K17-6000000)*('Rate Design'!$I$7/100)+'Rate Design'!$I$9+K83*'Rate Design'!$I$10-0.2*K58</f>
        <v>150142.53054800001</v>
      </c>
      <c r="L145" s="377">
        <f>500000*('Rate Design'!$I$5/100)+MIN(5500000,L17-500000)*('Rate Design'!$I$6/100)+MAX(0,L17-6000000)*('Rate Design'!$I$7/100)+'Rate Design'!$I$9+L83*'Rate Design'!$I$10-0.2*L58</f>
        <v>160227.51843999999</v>
      </c>
      <c r="M145" s="377">
        <f>500000*('Rate Design'!$I$5/100)+MIN(5500000,M17-500000)*('Rate Design'!$I$6/100)+MAX(0,M17-6000000)*('Rate Design'!$I$7/100)+'Rate Design'!$I$9+M83*'Rate Design'!$I$10-0.2*M58</f>
        <v>151546.95811800001</v>
      </c>
      <c r="N145" s="377">
        <f>500000*('Rate Design'!$I$5/100)+MIN(5500000,N17-500000)*('Rate Design'!$I$6/100)+MAX(0,N17-6000000)*('Rate Design'!$I$7/100)+'Rate Design'!$I$9+N83*'Rate Design'!$I$10-0.2*N58</f>
        <v>134174.73403200001</v>
      </c>
      <c r="O145" s="377">
        <f>500000*('Rate Design'!$I$5/100)+MIN(5500000,O17-500000)*('Rate Design'!$I$6/100)+MAX(0,O17-6000000)*('Rate Design'!$I$7/100)+'Rate Design'!$I$9+O83*'Rate Design'!$I$10-0.2*O58</f>
        <v>122003.481722</v>
      </c>
      <c r="P145" s="42">
        <f t="shared" si="62"/>
        <v>1711315.82201937</v>
      </c>
      <c r="T145" s="845"/>
    </row>
    <row r="146" spans="1:20">
      <c r="A146" s="627">
        <v>15</v>
      </c>
      <c r="B146" s="380">
        <f t="shared" si="61"/>
        <v>0</v>
      </c>
      <c r="C146" s="308"/>
      <c r="D146" s="377">
        <f>500000*('Rate Design'!$I$5/100)+MIN(5500000,D18-500000)*('Rate Design'!$I$6/100)+MAX(0,D18-6000000)*('Rate Design'!$I$7/100)+'Rate Design'!$I$9+D84*'Rate Design'!$I$10-0.2*D59</f>
        <v>159252.04276400001</v>
      </c>
      <c r="E146" s="377">
        <f>500000*('Rate Design'!$I$5/100)+MIN(5500000,E18-500000)*('Rate Design'!$I$6/100)+MAX(0,E18-6000000)*('Rate Design'!$I$7/100)+'Rate Design'!$I$9+E84*'Rate Design'!$I$10-0.2*E59</f>
        <v>168551.01172999997</v>
      </c>
      <c r="F146" s="377">
        <f>500000*('Rate Design'!$I$5/100)+MIN(5500000,F18-500000)*('Rate Design'!$I$6/100)+MAX(0,F18-6000000)*('Rate Design'!$I$7/100)+'Rate Design'!$I$9+F84*'Rate Design'!$I$10-0.2*F59</f>
        <v>165932.08467799996</v>
      </c>
      <c r="G146" s="377">
        <f>500000*('Rate Design'!$I$5/100)+MIN(5500000,G18-500000)*('Rate Design'!$I$6/100)+MAX(0,G18-6000000)*('Rate Design'!$I$7/100)+'Rate Design'!$I$9+G84*'Rate Design'!$I$10-0.2*G59</f>
        <v>168676.728034</v>
      </c>
      <c r="H146" s="377">
        <f>500000*('Rate Design'!$I$5/100)+MIN(5500000,H18-500000)*('Rate Design'!$I$6/100)+MAX(0,H18-6000000)*('Rate Design'!$I$7/100)+'Rate Design'!$I$9+H84*'Rate Design'!$I$10-0.2*H59</f>
        <v>174315.97026336999</v>
      </c>
      <c r="I146" s="377">
        <f>500000*('Rate Design'!$I$5/100)+MIN(5500000,I18-500000)*('Rate Design'!$I$6/100)+MAX(0,I18-6000000)*('Rate Design'!$I$7/100)+'Rate Design'!$I$9+I84*'Rate Design'!$I$10-0.2*I59</f>
        <v>171189.21340800001</v>
      </c>
      <c r="J146" s="377">
        <f>500000*('Rate Design'!$I$5/100)+MIN(5500000,J18-500000)*('Rate Design'!$I$6/100)+MAX(0,J18-6000000)*('Rate Design'!$I$7/100)+'Rate Design'!$I$9+J84*'Rate Design'!$I$10-0.2*J59</f>
        <v>170670.10340399996</v>
      </c>
      <c r="K146" s="377">
        <f>500000*('Rate Design'!$I$5/100)+MIN(5500000,K18-500000)*('Rate Design'!$I$6/100)+MAX(0,K18-6000000)*('Rate Design'!$I$7/100)+'Rate Design'!$I$9+K84*'Rate Design'!$I$10-0.2*K59</f>
        <v>163558.52564399998</v>
      </c>
      <c r="L146" s="377">
        <f>500000*('Rate Design'!$I$5/100)+MIN(5500000,L18-500000)*('Rate Design'!$I$6/100)+MAX(0,L18-6000000)*('Rate Design'!$I$7/100)+'Rate Design'!$I$9+L84*'Rate Design'!$I$10-0.2*L59</f>
        <v>170047.97997199997</v>
      </c>
      <c r="M146" s="377">
        <f>500000*('Rate Design'!$I$5/100)+MIN(5500000,M18-500000)*('Rate Design'!$I$6/100)+MAX(0,M18-6000000)*('Rate Design'!$I$7/100)+'Rate Design'!$I$9+M84*'Rate Design'!$I$10-0.2*M59</f>
        <v>164409.61879880002</v>
      </c>
      <c r="N146" s="377">
        <f>500000*('Rate Design'!$I$5/100)+MIN(5500000,N18-500000)*('Rate Design'!$I$6/100)+MAX(0,N18-6000000)*('Rate Design'!$I$7/100)+'Rate Design'!$I$9+N84*'Rate Design'!$I$10-0.2*N59</f>
        <v>157354.71422599998</v>
      </c>
      <c r="O146" s="377">
        <f>500000*('Rate Design'!$I$5/100)+MIN(5500000,O18-500000)*('Rate Design'!$I$6/100)+MAX(0,O18-6000000)*('Rate Design'!$I$7/100)+'Rate Design'!$I$9+O84*'Rate Design'!$I$10-0.2*O59</f>
        <v>151954.21697730001</v>
      </c>
      <c r="P146" s="42">
        <f t="shared" si="62"/>
        <v>1985912.2098994697</v>
      </c>
      <c r="T146" s="845"/>
    </row>
    <row r="147" spans="1:20">
      <c r="A147" s="627">
        <v>16</v>
      </c>
      <c r="B147" s="380">
        <f t="shared" si="61"/>
        <v>0</v>
      </c>
      <c r="C147" s="308"/>
      <c r="D147" s="377">
        <f>500000*('Rate Design'!$I$5/100)+MIN(5500000,D19-500000)*('Rate Design'!$I$6/100)+MAX(0,D19-6000000)*('Rate Design'!$I$7/100)+'Rate Design'!$I$9+D85*'Rate Design'!$I$10-0.2*D60</f>
        <v>372845.67582390003</v>
      </c>
      <c r="E147" s="377">
        <f>500000*('Rate Design'!$I$5/100)+MIN(5500000,E19-500000)*('Rate Design'!$I$6/100)+MAX(0,E19-6000000)*('Rate Design'!$I$7/100)+'Rate Design'!$I$9+E85*'Rate Design'!$I$10-0.2*E60</f>
        <v>390027.62239729997</v>
      </c>
      <c r="F147" s="377">
        <f>500000*('Rate Design'!$I$5/100)+MIN(5500000,F19-500000)*('Rate Design'!$I$6/100)+MAX(0,F19-6000000)*('Rate Design'!$I$7/100)+'Rate Design'!$I$9+F85*'Rate Design'!$I$10-0.2*F60</f>
        <v>320889.47350729996</v>
      </c>
      <c r="G147" s="377">
        <f>500000*('Rate Design'!$I$5/100)+MIN(5500000,G19-500000)*('Rate Design'!$I$6/100)+MAX(0,G19-6000000)*('Rate Design'!$I$7/100)+'Rate Design'!$I$9+G85*'Rate Design'!$I$10-0.2*G60</f>
        <v>276804.91809400002</v>
      </c>
      <c r="H147" s="377">
        <f>500000*('Rate Design'!$I$5/100)+MIN(5500000,H19-500000)*('Rate Design'!$I$6/100)+MAX(0,H19-6000000)*('Rate Design'!$I$7/100)+'Rate Design'!$I$9+H85*'Rate Design'!$I$10-0.2*H60</f>
        <v>248963.78007459998</v>
      </c>
      <c r="I147" s="377">
        <f>500000*('Rate Design'!$I$5/100)+MIN(5500000,I19-500000)*('Rate Design'!$I$6/100)+MAX(0,I19-6000000)*('Rate Design'!$I$7/100)+'Rate Design'!$I$9+I85*'Rate Design'!$I$10-0.2*I60</f>
        <v>260337.54154789998</v>
      </c>
      <c r="J147" s="377">
        <f>500000*('Rate Design'!$I$5/100)+MIN(5500000,J19-500000)*('Rate Design'!$I$6/100)+MAX(0,J19-6000000)*('Rate Design'!$I$7/100)+'Rate Design'!$I$9+J85*'Rate Design'!$I$10-0.2*J60</f>
        <v>259297.03263549999</v>
      </c>
      <c r="K147" s="377">
        <f>500000*('Rate Design'!$I$5/100)+MIN(5500000,K19-500000)*('Rate Design'!$I$6/100)+MAX(0,K19-6000000)*('Rate Design'!$I$7/100)+'Rate Design'!$I$9+K85*'Rate Design'!$I$10-0.2*K60</f>
        <v>240981.3042674</v>
      </c>
      <c r="L147" s="377">
        <f>500000*('Rate Design'!$I$5/100)+MIN(5500000,L19-500000)*('Rate Design'!$I$6/100)+MAX(0,L19-6000000)*('Rate Design'!$I$7/100)+'Rate Design'!$I$9+L85*'Rate Design'!$I$10-0.2*L60</f>
        <v>269254.76913429995</v>
      </c>
      <c r="M147" s="377">
        <f>500000*('Rate Design'!$I$5/100)+MIN(5500000,M19-500000)*('Rate Design'!$I$6/100)+MAX(0,M19-6000000)*('Rate Design'!$I$7/100)+'Rate Design'!$I$9+M85*'Rate Design'!$I$10-0.2*M60</f>
        <v>264484.34513969993</v>
      </c>
      <c r="N147" s="377">
        <f>500000*('Rate Design'!$I$5/100)+MIN(5500000,N19-500000)*('Rate Design'!$I$6/100)+MAX(0,N19-6000000)*('Rate Design'!$I$7/100)+'Rate Design'!$I$9+N85*'Rate Design'!$I$10-0.2*N60</f>
        <v>320429.05095229991</v>
      </c>
      <c r="O147" s="377">
        <f>500000*('Rate Design'!$I$5/100)+MIN(5500000,O19-500000)*('Rate Design'!$I$6/100)+MAX(0,O19-6000000)*('Rate Design'!$I$7/100)+'Rate Design'!$I$9+O85*'Rate Design'!$I$10-0.2*O60</f>
        <v>334832.42209219991</v>
      </c>
      <c r="P147" s="42">
        <f t="shared" si="62"/>
        <v>3559147.9356663995</v>
      </c>
      <c r="T147" s="845"/>
    </row>
    <row r="148" spans="1:20">
      <c r="A148" s="627">
        <v>17</v>
      </c>
      <c r="B148" s="380">
        <f t="shared" si="61"/>
        <v>0</v>
      </c>
      <c r="C148" s="308"/>
      <c r="D148" s="377">
        <f>500000*('Rate Design'!$I$5/100)+MIN(5500000,D20-500000)*('Rate Design'!$I$6/100)+MAX(0,D20-6000000)*('Rate Design'!$I$7/100)+'Rate Design'!$I$9+D86*'Rate Design'!$I$10-0.2*D61</f>
        <v>197506.74207899999</v>
      </c>
      <c r="E148" s="377">
        <f>500000*('Rate Design'!$I$5/100)+MIN(5500000,E20-500000)*('Rate Design'!$I$6/100)+MAX(0,E20-6000000)*('Rate Design'!$I$7/100)+'Rate Design'!$I$9+E86*'Rate Design'!$I$10-0.2*E61</f>
        <v>204984.21345800001</v>
      </c>
      <c r="F148" s="377">
        <f>500000*('Rate Design'!$I$5/100)+MIN(5500000,F20-500000)*('Rate Design'!$I$6/100)+MAX(0,F20-6000000)*('Rate Design'!$I$7/100)+'Rate Design'!$I$9+F86*'Rate Design'!$I$10-0.2*F61</f>
        <v>203425.91640999995</v>
      </c>
      <c r="G148" s="377">
        <f>500000*('Rate Design'!$I$5/100)+MIN(5500000,G20-500000)*('Rate Design'!$I$6/100)+MAX(0,G20-6000000)*('Rate Design'!$I$7/100)+'Rate Design'!$I$9+G86*'Rate Design'!$I$10-0.2*G61</f>
        <v>214715.82531300001</v>
      </c>
      <c r="H148" s="377">
        <f>500000*('Rate Design'!$I$5/100)+MIN(5500000,H20-500000)*('Rate Design'!$I$6/100)+MAX(0,H20-6000000)*('Rate Design'!$I$7/100)+'Rate Design'!$I$9+H86*'Rate Design'!$I$10-0.2*H61</f>
        <v>221122.42537299998</v>
      </c>
      <c r="I148" s="377">
        <f>500000*('Rate Design'!$I$5/100)+MIN(5500000,I20-500000)*('Rate Design'!$I$6/100)+MAX(0,I20-6000000)*('Rate Design'!$I$7/100)+'Rate Design'!$I$9+I86*'Rate Design'!$I$10-0.2*I61</f>
        <v>228664.18083199995</v>
      </c>
      <c r="J148" s="377">
        <f>500000*('Rate Design'!$I$5/100)+MIN(5500000,J20-500000)*('Rate Design'!$I$6/100)+MAX(0,J20-6000000)*('Rate Design'!$I$7/100)+'Rate Design'!$I$9+J86*'Rate Design'!$I$10-0.2*J61</f>
        <v>227687.92926899999</v>
      </c>
      <c r="K148" s="377">
        <f>500000*('Rate Design'!$I$5/100)+MIN(5500000,K20-500000)*('Rate Design'!$I$6/100)+MAX(0,K20-6000000)*('Rate Design'!$I$7/100)+'Rate Design'!$I$9+K86*'Rate Design'!$I$10-0.2*K61</f>
        <v>202407.32519999999</v>
      </c>
      <c r="L148" s="377">
        <f>500000*('Rate Design'!$I$5/100)+MIN(5500000,L20-500000)*('Rate Design'!$I$6/100)+MAX(0,L20-6000000)*('Rate Design'!$I$7/100)+'Rate Design'!$I$9+L86*'Rate Design'!$I$10-0.2*L61</f>
        <v>202729.48488140997</v>
      </c>
      <c r="M148" s="377">
        <f>500000*('Rate Design'!$I$5/100)+MIN(5500000,M20-500000)*('Rate Design'!$I$6/100)+MAX(0,M20-6000000)*('Rate Design'!$I$7/100)+'Rate Design'!$I$9+M86*'Rate Design'!$I$10-0.2*M61</f>
        <v>181525.53828800001</v>
      </c>
      <c r="N148" s="377">
        <f>500000*('Rate Design'!$I$5/100)+MIN(5500000,N20-500000)*('Rate Design'!$I$6/100)+MAX(0,N20-6000000)*('Rate Design'!$I$7/100)+'Rate Design'!$I$9+N86*'Rate Design'!$I$10-0.2*N61</f>
        <v>182255.90175399999</v>
      </c>
      <c r="O148" s="377">
        <f>500000*('Rate Design'!$I$5/100)+MIN(5500000,O20-500000)*('Rate Design'!$I$6/100)+MAX(0,O20-6000000)*('Rate Design'!$I$7/100)+'Rate Design'!$I$9+O86*'Rate Design'!$I$10-0.2*O61</f>
        <v>175996.48092199999</v>
      </c>
      <c r="P148" s="42">
        <f t="shared" si="62"/>
        <v>2443021.9637794099</v>
      </c>
      <c r="T148" s="845"/>
    </row>
    <row r="149" spans="1:20">
      <c r="A149" s="627">
        <v>18</v>
      </c>
      <c r="B149" s="380">
        <f t="shared" si="61"/>
        <v>0</v>
      </c>
      <c r="C149" s="308"/>
      <c r="D149" s="377">
        <f>500000*('Rate Design'!$I$5/100)+MIN(5500000,D21-500000)*('Rate Design'!$I$6/100)+MAX(0,D21-6000000)*('Rate Design'!$I$7/100)+'Rate Design'!$I$9+D87*'Rate Design'!$I$10</f>
        <v>166770.07803</v>
      </c>
      <c r="E149" s="377">
        <f>500000*('Rate Design'!$I$5/100)+MIN(5500000,E21-500000)*('Rate Design'!$I$6/100)+MAX(0,E21-6000000)*('Rate Design'!$I$7/100)+'Rate Design'!$I$9+E87*'Rate Design'!$I$10</f>
        <v>173145.64726999999</v>
      </c>
      <c r="F149" s="377">
        <f>500000*('Rate Design'!$I$5/100)+MIN(5500000,F21-500000)*('Rate Design'!$I$6/100)+MAX(0,F21-6000000)*('Rate Design'!$I$7/100)+'Rate Design'!$I$9+F87*'Rate Design'!$I$10</f>
        <v>174519.75616999998</v>
      </c>
      <c r="G149" s="377">
        <f>500000*('Rate Design'!$I$5/100)+MIN(5500000,G21-500000)*('Rate Design'!$I$6/100)+MAX(0,G21-6000000)*('Rate Design'!$I$7/100)+'Rate Design'!$I$9+G87*'Rate Design'!$I$10</f>
        <v>179852.14969999998</v>
      </c>
      <c r="H149" s="377">
        <f>500000*('Rate Design'!$I$5/100)+MIN(5500000,H21-500000)*('Rate Design'!$I$6/100)+MAX(0,H21-6000000)*('Rate Design'!$I$7/100)+'Rate Design'!$I$9+H87*'Rate Design'!$I$10</f>
        <v>199956.52032999997</v>
      </c>
      <c r="I149" s="377">
        <f>500000*('Rate Design'!$I$5/100)+MIN(5500000,I21-500000)*('Rate Design'!$I$6/100)+MAX(0,I21-6000000)*('Rate Design'!$I$7/100)+'Rate Design'!$I$9+I87*'Rate Design'!$I$10</f>
        <v>219534.56292</v>
      </c>
      <c r="J149" s="377">
        <f>500000*('Rate Design'!$I$5/100)+MIN(5500000,J21-500000)*('Rate Design'!$I$6/100)+MAX(0,J21-6000000)*('Rate Design'!$I$7/100)+'Rate Design'!$I$9+J87*'Rate Design'!$I$10</f>
        <v>197164.42720000001</v>
      </c>
      <c r="K149" s="377">
        <f>500000*('Rate Design'!$I$5/100)+MIN(5500000,K21-500000)*('Rate Design'!$I$6/100)+MAX(0,K21-6000000)*('Rate Design'!$I$7/100)+'Rate Design'!$I$9+K87*'Rate Design'!$I$10</f>
        <v>189094.75336999999</v>
      </c>
      <c r="L149" s="377">
        <f>500000*('Rate Design'!$I$5/100)+MIN(5500000,L21-500000)*('Rate Design'!$I$6/100)+MAX(0,L21-6000000)*('Rate Design'!$I$7/100)+'Rate Design'!$I$9+L87*'Rate Design'!$I$10</f>
        <v>197936.87870314997</v>
      </c>
      <c r="M149" s="377">
        <f>500000*('Rate Design'!$I$5/100)+MIN(5500000,M21-500000)*('Rate Design'!$I$6/100)+MAX(0,M21-6000000)*('Rate Design'!$I$7/100)+'Rate Design'!$I$9+M87*'Rate Design'!$I$10</f>
        <v>181863.46458</v>
      </c>
      <c r="N149" s="377">
        <f>500000*('Rate Design'!$I$5/100)+MIN(5500000,N21-500000)*('Rate Design'!$I$6/100)+MAX(0,N21-6000000)*('Rate Design'!$I$7/100)+'Rate Design'!$I$9+N87*'Rate Design'!$I$10</f>
        <v>173792.84974999999</v>
      </c>
      <c r="O149" s="377">
        <f>500000*('Rate Design'!$I$5/100)+MIN(5500000,O21-500000)*('Rate Design'!$I$6/100)+MAX(0,O21-6000000)*('Rate Design'!$I$7/100)+'Rate Design'!$I$9+O87*'Rate Design'!$I$10</f>
        <v>158151.41741999998</v>
      </c>
      <c r="P149" s="42">
        <f t="shared" si="62"/>
        <v>2211782.5054431497</v>
      </c>
      <c r="T149" s="845"/>
    </row>
    <row r="150" spans="1:20">
      <c r="A150" s="627">
        <v>19</v>
      </c>
      <c r="B150" s="380">
        <f t="shared" si="61"/>
        <v>0</v>
      </c>
      <c r="C150" s="308"/>
      <c r="D150" s="377">
        <f>500000*('Rate Design'!$I$5/100)+MIN(5500000,D22-500000)*('Rate Design'!$I$6/100)+MAX(0,D22-6000000)*('Rate Design'!$I$7/100)+'Rate Design'!$I$9+D88*'Rate Design'!$I$10</f>
        <v>227698.34376399999</v>
      </c>
      <c r="E150" s="377">
        <f>500000*('Rate Design'!$I$5/100)+MIN(5500000,E22-500000)*('Rate Design'!$I$6/100)+MAX(0,E22-6000000)*('Rate Design'!$I$7/100)+'Rate Design'!$I$9+E88*'Rate Design'!$I$10</f>
        <v>250546.48195399996</v>
      </c>
      <c r="F150" s="377">
        <f>500000*('Rate Design'!$I$5/100)+MIN(5500000,F22-500000)*('Rate Design'!$I$6/100)+MAX(0,F22-6000000)*('Rate Design'!$I$7/100)+'Rate Design'!$I$9+F88*'Rate Design'!$I$10</f>
        <v>224587.04791073999</v>
      </c>
      <c r="G150" s="377">
        <f>500000*('Rate Design'!$I$5/100)+MIN(5500000,G22-500000)*('Rate Design'!$I$6/100)+MAX(0,G22-6000000)*('Rate Design'!$I$7/100)+'Rate Design'!$I$9+G88*'Rate Design'!$I$10</f>
        <v>206691.78813199999</v>
      </c>
      <c r="H150" s="377">
        <f>500000*('Rate Design'!$I$5/100)+MIN(5500000,H22-500000)*('Rate Design'!$I$6/100)+MAX(0,H22-6000000)*('Rate Design'!$I$7/100)+'Rate Design'!$I$9+H88*'Rate Design'!$I$10</f>
        <v>145714.460914</v>
      </c>
      <c r="I150" s="377">
        <f>500000*('Rate Design'!$I$5/100)+MIN(5500000,I22-500000)*('Rate Design'!$I$6/100)+MAX(0,I22-6000000)*('Rate Design'!$I$7/100)+'Rate Design'!$I$9+I88*'Rate Design'!$I$10</f>
        <v>142932.12888999999</v>
      </c>
      <c r="J150" s="377">
        <f>500000*('Rate Design'!$I$5/100)+MIN(5500000,J22-500000)*('Rate Design'!$I$6/100)+MAX(0,J22-6000000)*('Rate Design'!$I$7/100)+'Rate Design'!$I$9+J88*'Rate Design'!$I$10</f>
        <v>147334.97842</v>
      </c>
      <c r="K150" s="377">
        <f>500000*('Rate Design'!$I$5/100)+MIN(5500000,K22-500000)*('Rate Design'!$I$6/100)+MAX(0,K22-6000000)*('Rate Design'!$I$7/100)+'Rate Design'!$I$9+K88*'Rate Design'!$I$10</f>
        <v>143266.81769400003</v>
      </c>
      <c r="L150" s="377">
        <f>500000*('Rate Design'!$I$5/100)+MIN(5500000,L22-500000)*('Rate Design'!$I$6/100)+MAX(0,L22-6000000)*('Rate Design'!$I$7/100)+'Rate Design'!$I$9+L88*'Rate Design'!$I$10</f>
        <v>145930.32161263001</v>
      </c>
      <c r="M150" s="377">
        <f>500000*('Rate Design'!$I$5/100)+MIN(5500000,M22-500000)*('Rate Design'!$I$6/100)+MAX(0,M22-6000000)*('Rate Design'!$I$7/100)+'Rate Design'!$I$9+M88*'Rate Design'!$I$10</f>
        <v>158605.89410199999</v>
      </c>
      <c r="N150" s="377">
        <f>500000*('Rate Design'!$I$5/100)+MIN(5500000,N22-500000)*('Rate Design'!$I$6/100)+MAX(0,N22-6000000)*('Rate Design'!$I$7/100)+'Rate Design'!$I$9+N88*'Rate Design'!$I$10</f>
        <v>202926.82055800001</v>
      </c>
      <c r="O150" s="377">
        <f>500000*('Rate Design'!$I$5/100)+MIN(5500000,O22-500000)*('Rate Design'!$I$6/100)+MAX(0,O22-6000000)*('Rate Design'!$I$7/100)+'Rate Design'!$I$9+O88*'Rate Design'!$I$10</f>
        <v>213663.82373199999</v>
      </c>
      <c r="P150" s="42">
        <f t="shared" si="62"/>
        <v>2209898.9076833697</v>
      </c>
      <c r="T150" s="845"/>
    </row>
    <row r="151" spans="1:20" s="541" customFormat="1">
      <c r="A151" s="18">
        <v>20</v>
      </c>
      <c r="B151" s="380">
        <f t="shared" si="61"/>
        <v>0</v>
      </c>
      <c r="C151" s="308"/>
      <c r="D151" s="377">
        <f>500000*('Rate Design'!$I$5/100)+MIN(5500000,D23-500000)*('Rate Design'!$I$6/100)+MAX(0,D23-6000000)*('Rate Design'!$I$7/100)+'Rate Design'!$I$9+D89*'Rate Design'!$I$10</f>
        <v>201617.65282799999</v>
      </c>
      <c r="E151" s="377">
        <f>500000*('Rate Design'!$I$5/100)+MIN(5500000,E23-500000)*('Rate Design'!$I$6/100)+MAX(0,E23-6000000)*('Rate Design'!$I$7/100)+'Rate Design'!$I$9+E89*'Rate Design'!$I$10</f>
        <v>192199.29234399999</v>
      </c>
      <c r="F151" s="377">
        <f>500000*('Rate Design'!$I$5/100)+MIN(5500000,F23-500000)*('Rate Design'!$I$6/100)+MAX(0,F23-6000000)*('Rate Design'!$I$7/100)+'Rate Design'!$I$9+F89*'Rate Design'!$I$10</f>
        <v>206018.58581999998</v>
      </c>
      <c r="G151" s="377">
        <f>500000*('Rate Design'!$I$5/100)+MIN(5500000,G23-500000)*('Rate Design'!$I$6/100)+MAX(0,G23-6000000)*('Rate Design'!$I$7/100)+'Rate Design'!$I$9+G89*'Rate Design'!$I$10</f>
        <v>198681.41763399995</v>
      </c>
      <c r="H151" s="377">
        <f>500000*('Rate Design'!$I$5/100)+MIN(5500000,H23-500000)*('Rate Design'!$I$6/100)+MAX(0,H23-6000000)*('Rate Design'!$I$7/100)+'Rate Design'!$I$9+H89*'Rate Design'!$I$10</f>
        <v>217479.71970399999</v>
      </c>
      <c r="I151" s="377">
        <f>500000*('Rate Design'!$I$5/100)+MIN(5500000,I23-500000)*('Rate Design'!$I$6/100)+MAX(0,I23-6000000)*('Rate Design'!$I$7/100)+'Rate Design'!$I$9+I89*'Rate Design'!$I$10</f>
        <v>159833.71295599997</v>
      </c>
      <c r="J151" s="377">
        <f>500000*('Rate Design'!$I$5/100)+MIN(5500000,J23-500000)*('Rate Design'!$I$6/100)+MAX(0,J23-6000000)*('Rate Design'!$I$7/100)+'Rate Design'!$I$9+J89*'Rate Design'!$I$10</f>
        <v>233522.29820199998</v>
      </c>
      <c r="K151" s="377">
        <f>500000*('Rate Design'!$I$5/100)+MIN(5500000,K23-500000)*('Rate Design'!$I$6/100)+MAX(0,K23-6000000)*('Rate Design'!$I$7/100)+'Rate Design'!$I$9+K89*'Rate Design'!$I$10</f>
        <v>191523.86625999998</v>
      </c>
      <c r="L151" s="377">
        <f>500000*('Rate Design'!$I$5/100)+MIN(5500000,L23-500000)*('Rate Design'!$I$6/100)+MAX(0,L23-6000000)*('Rate Design'!$I$7/100)+'Rate Design'!$I$9+L89*'Rate Design'!$I$10</f>
        <v>202421.93567904001</v>
      </c>
      <c r="M151" s="377">
        <f>500000*('Rate Design'!$I$5/100)+MIN(5500000,M23-500000)*('Rate Design'!$I$6/100)+MAX(0,M23-6000000)*('Rate Design'!$I$7/100)+'Rate Design'!$I$9+M89*'Rate Design'!$I$10</f>
        <v>193322.46771600001</v>
      </c>
      <c r="N151" s="377">
        <f>500000*('Rate Design'!$I$5/100)+MIN(5500000,N23-500000)*('Rate Design'!$I$6/100)+MAX(0,N23-6000000)*('Rate Design'!$I$7/100)+'Rate Design'!$I$9+N89*'Rate Design'!$I$10</f>
        <v>187537.82192799999</v>
      </c>
      <c r="O151" s="377">
        <f>500000*('Rate Design'!$I$5/100)+MIN(5500000,O23-500000)*('Rate Design'!$I$6/100)+MAX(0,O23-6000000)*('Rate Design'!$I$7/100)+'Rate Design'!$I$9+O89*'Rate Design'!$I$10</f>
        <v>206629.32648799999</v>
      </c>
      <c r="P151" s="422">
        <f>SUM(D151:O151)</f>
        <v>2390788.0975590395</v>
      </c>
      <c r="T151" s="845"/>
    </row>
    <row r="152" spans="1:20" s="541" customFormat="1">
      <c r="A152" s="627">
        <v>21</v>
      </c>
      <c r="B152" s="380">
        <f t="shared" si="61"/>
        <v>0</v>
      </c>
      <c r="C152" s="308"/>
      <c r="D152" s="377">
        <f>500000*('Rate Design'!$I$5/100)+MIN(5500000,D24-500000)*('Rate Design'!$I$6/100)+MAX(0,D24-6000000)*('Rate Design'!$I$7/100)+'Rate Design'!$I$9+D90*'Rate Design'!$I$10-0.2*D65</f>
        <v>85072.489568000005</v>
      </c>
      <c r="E152" s="377">
        <f>500000*('Rate Design'!$I$5/100)+MIN(5500000,E24-500000)*('Rate Design'!$I$6/100)+MAX(0,E24-6000000)*('Rate Design'!$I$7/100)+'Rate Design'!$I$9+E90*'Rate Design'!$I$10-0.2*E65</f>
        <v>87555.037565999985</v>
      </c>
      <c r="F152" s="377">
        <f>500000*('Rate Design'!$I$5/100)+MIN(5500000,F24-500000)*('Rate Design'!$I$6/100)+MAX(0,F24-6000000)*('Rate Design'!$I$7/100)+'Rate Design'!$I$9+F90*'Rate Design'!$I$10-0.2*F65</f>
        <v>83595.594455999992</v>
      </c>
      <c r="G152" s="377">
        <f>500000*('Rate Design'!$I$5/100)+MIN(5500000,G24-500000)*('Rate Design'!$I$6/100)+MAX(0,G24-6000000)*('Rate Design'!$I$7/100)+'Rate Design'!$I$9+G90*'Rate Design'!$I$10-0.2*G65</f>
        <v>85490.542700000005</v>
      </c>
      <c r="H152" s="377">
        <f>500000*('Rate Design'!$I$5/100)+MIN(5500000,H24-500000)*('Rate Design'!$I$6/100)+MAX(0,H24-6000000)*('Rate Design'!$I$7/100)+'Rate Design'!$I$9+H90*'Rate Design'!$I$10-0.2*H65</f>
        <v>94169.288671000002</v>
      </c>
      <c r="I152" s="377">
        <f>500000*('Rate Design'!$I$5/100)+MIN(5500000,I24-500000)*('Rate Design'!$I$6/100)+MAX(0,I24-6000000)*('Rate Design'!$I$7/100)+'Rate Design'!$I$9+I90*'Rate Design'!$I$10-0.2*I65</f>
        <v>94737.330557999987</v>
      </c>
      <c r="J152" s="377">
        <f>500000*('Rate Design'!$I$5/100)+MIN(5500000,J24-500000)*('Rate Design'!$I$6/100)+MAX(0,J24-6000000)*('Rate Design'!$I$7/100)+'Rate Design'!$I$9+J90*'Rate Design'!$I$10-0.2*J65</f>
        <v>96138.787957999986</v>
      </c>
      <c r="K152" s="377">
        <f>500000*('Rate Design'!$I$5/100)+MIN(5500000,K24-500000)*('Rate Design'!$I$6/100)+MAX(0,K24-6000000)*('Rate Design'!$I$7/100)+'Rate Design'!$I$9+K90*'Rate Design'!$I$10-0.2*K65</f>
        <v>92297.399392999985</v>
      </c>
      <c r="L152" s="377">
        <f>500000*('Rate Design'!$I$5/100)+MIN(5500000,L24-500000)*('Rate Design'!$I$6/100)+MAX(0,L24-6000000)*('Rate Design'!$I$7/100)+'Rate Design'!$I$9+L90*'Rate Design'!$I$10-0.2*L65</f>
        <v>98551.264993259989</v>
      </c>
      <c r="M152" s="377">
        <f>500000*('Rate Design'!$I$5/100)+MIN(5500000,M24-500000)*('Rate Design'!$I$6/100)+MAX(0,M24-6000000)*('Rate Design'!$I$7/100)+'Rate Design'!$I$9+M90*'Rate Design'!$I$10-0.2*M65</f>
        <v>87026.921894000014</v>
      </c>
      <c r="N152" s="377">
        <f>500000*('Rate Design'!$I$5/100)+MIN(5500000,N24-500000)*('Rate Design'!$I$6/100)+MAX(0,N24-6000000)*('Rate Design'!$I$7/100)+'Rate Design'!$I$9+N90*'Rate Design'!$I$10-0.2*N65</f>
        <v>86994.457636999985</v>
      </c>
      <c r="O152" s="377">
        <f>500000*('Rate Design'!$I$5/100)+MIN(5500000,O24-500000)*('Rate Design'!$I$6/100)+MAX(0,O24-6000000)*('Rate Design'!$I$7/100)+'Rate Design'!$I$9+O90*'Rate Design'!$I$10-0.2*O65</f>
        <v>90143.889272</v>
      </c>
      <c r="P152" s="422">
        <f>SUM(D152:O152)</f>
        <v>1081773.00466626</v>
      </c>
      <c r="T152" s="845"/>
    </row>
    <row r="153" spans="1:20">
      <c r="B153" t="s">
        <v>330</v>
      </c>
      <c r="P153" s="42">
        <f>SUM(P132:P152)</f>
        <v>47978433.408691891</v>
      </c>
      <c r="Q153" s="422">
        <f ca="1">P153-'Pres &amp; Prop Rev'!I152</f>
        <v>5.4188817739486694E-4</v>
      </c>
      <c r="T153" s="845"/>
    </row>
    <row r="154" spans="1:20" s="434" customFormat="1">
      <c r="P154" s="422"/>
    </row>
    <row r="155" spans="1:20">
      <c r="A155" s="420"/>
      <c r="B155" s="420"/>
      <c r="C155" s="420"/>
      <c r="D155" s="420">
        <v>24</v>
      </c>
      <c r="E155" s="420">
        <v>24</v>
      </c>
      <c r="F155" s="420">
        <v>24</v>
      </c>
      <c r="G155" s="420">
        <v>24</v>
      </c>
      <c r="H155" s="420">
        <v>24</v>
      </c>
      <c r="I155" s="420">
        <v>24</v>
      </c>
      <c r="J155" s="420">
        <v>24</v>
      </c>
      <c r="K155" s="420">
        <v>24</v>
      </c>
      <c r="L155" s="420">
        <v>24</v>
      </c>
      <c r="M155" s="420">
        <v>24</v>
      </c>
      <c r="N155" s="420">
        <v>24</v>
      </c>
      <c r="O155" s="420">
        <v>24</v>
      </c>
      <c r="P155" s="459"/>
    </row>
    <row r="156" spans="1:20">
      <c r="A156" s="420"/>
      <c r="B156" s="420"/>
      <c r="C156" s="420"/>
      <c r="D156" s="420">
        <v>31</v>
      </c>
      <c r="E156" s="420">
        <v>30</v>
      </c>
      <c r="F156" s="420">
        <v>31</v>
      </c>
      <c r="G156" s="420">
        <v>31</v>
      </c>
      <c r="H156" s="420">
        <v>28</v>
      </c>
      <c r="I156" s="420">
        <v>31</v>
      </c>
      <c r="J156" s="420">
        <v>30</v>
      </c>
      <c r="K156" s="420">
        <v>31</v>
      </c>
      <c r="L156" s="420">
        <v>30</v>
      </c>
      <c r="M156" s="420">
        <v>31</v>
      </c>
      <c r="N156" s="420">
        <v>31</v>
      </c>
      <c r="O156" s="420">
        <v>30</v>
      </c>
      <c r="P156" s="459">
        <f>SUM(D156:O156)</f>
        <v>365</v>
      </c>
    </row>
    <row r="157" spans="1:20">
      <c r="A157" s="420"/>
      <c r="B157" s="420"/>
      <c r="C157" s="420"/>
      <c r="D157" s="420">
        <f>D155*D156</f>
        <v>744</v>
      </c>
      <c r="E157" s="459">
        <f>E155*E156</f>
        <v>720</v>
      </c>
      <c r="F157" s="459">
        <f t="shared" ref="F157:O157" si="63">F155*F156</f>
        <v>744</v>
      </c>
      <c r="G157" s="459">
        <f t="shared" si="63"/>
        <v>744</v>
      </c>
      <c r="H157" s="459">
        <f t="shared" si="63"/>
        <v>672</v>
      </c>
      <c r="I157" s="459">
        <f t="shared" si="63"/>
        <v>744</v>
      </c>
      <c r="J157" s="459">
        <f t="shared" si="63"/>
        <v>720</v>
      </c>
      <c r="K157" s="459">
        <f t="shared" si="63"/>
        <v>744</v>
      </c>
      <c r="L157" s="459">
        <f t="shared" si="63"/>
        <v>720</v>
      </c>
      <c r="M157" s="459">
        <f t="shared" si="63"/>
        <v>744</v>
      </c>
      <c r="N157" s="459">
        <f t="shared" si="63"/>
        <v>744</v>
      </c>
      <c r="O157" s="459">
        <f t="shared" si="63"/>
        <v>720</v>
      </c>
      <c r="P157" s="420">
        <f>SUM(D157:O157)</f>
        <v>8760</v>
      </c>
    </row>
    <row r="158" spans="1:20">
      <c r="A158" s="420"/>
      <c r="B158" s="423" t="s">
        <v>483</v>
      </c>
      <c r="C158" s="420"/>
      <c r="D158" s="424">
        <f t="shared" ref="D158:O158" si="64">D3</f>
        <v>44773</v>
      </c>
      <c r="E158" s="437">
        <f t="shared" si="64"/>
        <v>44804</v>
      </c>
      <c r="F158" s="437">
        <f t="shared" si="64"/>
        <v>44834</v>
      </c>
      <c r="G158" s="437">
        <f t="shared" si="64"/>
        <v>44865</v>
      </c>
      <c r="H158" s="437">
        <f t="shared" si="64"/>
        <v>44895</v>
      </c>
      <c r="I158" s="437">
        <f t="shared" si="64"/>
        <v>44926</v>
      </c>
      <c r="J158" s="437">
        <f t="shared" si="64"/>
        <v>44957</v>
      </c>
      <c r="K158" s="437">
        <f t="shared" si="64"/>
        <v>44985</v>
      </c>
      <c r="L158" s="437">
        <f t="shared" si="64"/>
        <v>45016</v>
      </c>
      <c r="M158" s="437">
        <f t="shared" si="64"/>
        <v>45046</v>
      </c>
      <c r="N158" s="437">
        <f t="shared" si="64"/>
        <v>45077</v>
      </c>
      <c r="O158" s="437">
        <f t="shared" si="64"/>
        <v>45107</v>
      </c>
      <c r="P158" s="421" t="s">
        <v>484</v>
      </c>
      <c r="Q158" s="420" t="s">
        <v>485</v>
      </c>
    </row>
    <row r="159" spans="1:20">
      <c r="A159" s="627">
        <v>1</v>
      </c>
      <c r="B159" s="533">
        <f t="shared" ref="B159:B179" si="65">B4</f>
        <v>0</v>
      </c>
      <c r="C159" s="380"/>
      <c r="D159" s="425">
        <f t="shared" ref="D159:O159" si="66">(D4/D$157)/D45</f>
        <v>0.75469838042892179</v>
      </c>
      <c r="E159" s="425">
        <f t="shared" si="66"/>
        <v>0.73225275082506969</v>
      </c>
      <c r="F159" s="425">
        <f t="shared" si="66"/>
        <v>0.63919020319278752</v>
      </c>
      <c r="G159" s="425">
        <f t="shared" si="66"/>
        <v>0.67610765930521155</v>
      </c>
      <c r="H159" s="425">
        <f t="shared" si="66"/>
        <v>0.71824612326528114</v>
      </c>
      <c r="I159" s="425">
        <f t="shared" si="66"/>
        <v>0.56697675003905346</v>
      </c>
      <c r="J159" s="425">
        <f t="shared" si="66"/>
        <v>0.81507378816944887</v>
      </c>
      <c r="K159" s="425">
        <f t="shared" si="66"/>
        <v>0.58999105141614117</v>
      </c>
      <c r="L159" s="425">
        <f t="shared" si="66"/>
        <v>0.76824523773515907</v>
      </c>
      <c r="M159" s="425">
        <f t="shared" si="66"/>
        <v>0.63221010055777882</v>
      </c>
      <c r="N159" s="425">
        <f t="shared" si="66"/>
        <v>0.65496548132039889</v>
      </c>
      <c r="O159" s="425">
        <f t="shared" si="66"/>
        <v>0.63658553158474462</v>
      </c>
      <c r="P159" s="426">
        <f>AVERAGE(D159:O159)</f>
        <v>0.68204525481999967</v>
      </c>
      <c r="Q159" s="426">
        <f t="shared" ref="Q159:Q179" si="67">(P4/8760)/Q45</f>
        <v>0.55575752161680947</v>
      </c>
    </row>
    <row r="160" spans="1:20">
      <c r="A160" s="627">
        <v>2</v>
      </c>
      <c r="B160" s="533">
        <f t="shared" si="65"/>
        <v>0</v>
      </c>
      <c r="C160" s="380"/>
      <c r="D160" s="425">
        <f t="shared" ref="D160:O160" si="68">(D5/D$157)/D46</f>
        <v>0.7573227951960777</v>
      </c>
      <c r="E160" s="425">
        <f t="shared" si="68"/>
        <v>0.80197264927337708</v>
      </c>
      <c r="F160" s="425">
        <f t="shared" si="68"/>
        <v>0.72698886771221094</v>
      </c>
      <c r="G160" s="425">
        <f t="shared" si="68"/>
        <v>0.76714520459068303</v>
      </c>
      <c r="H160" s="425">
        <f t="shared" si="68"/>
        <v>0.68153861639051572</v>
      </c>
      <c r="I160" s="425">
        <f t="shared" si="68"/>
        <v>0.61596024340562183</v>
      </c>
      <c r="J160" s="425">
        <f t="shared" si="68"/>
        <v>0.78974241954370883</v>
      </c>
      <c r="K160" s="425">
        <f t="shared" si="68"/>
        <v>0.70082657848287044</v>
      </c>
      <c r="L160" s="425">
        <f t="shared" si="68"/>
        <v>0.81664580531706921</v>
      </c>
      <c r="M160" s="425">
        <f t="shared" si="68"/>
        <v>0.73618337422445967</v>
      </c>
      <c r="N160" s="425">
        <f t="shared" si="68"/>
        <v>0.73261360910212869</v>
      </c>
      <c r="O160" s="425">
        <f t="shared" si="68"/>
        <v>0.74960021993601589</v>
      </c>
      <c r="P160" s="426">
        <f t="shared" ref="P160:P177" si="69">AVERAGE(D160:O160)</f>
        <v>0.73971169859789487</v>
      </c>
      <c r="Q160" s="426">
        <f t="shared" si="67"/>
        <v>0.72719903966268196</v>
      </c>
    </row>
    <row r="161" spans="1:17">
      <c r="A161" s="627">
        <v>3</v>
      </c>
      <c r="B161" s="533">
        <f t="shared" si="65"/>
        <v>0</v>
      </c>
      <c r="C161" s="380"/>
      <c r="D161" s="425">
        <f t="shared" ref="D161:O161" si="70">(D6/D$157)/D47</f>
        <v>0.47002775388885326</v>
      </c>
      <c r="E161" s="425">
        <f t="shared" si="70"/>
        <v>0.54691435599572613</v>
      </c>
      <c r="F161" s="425">
        <f t="shared" si="70"/>
        <v>0.45485100427642755</v>
      </c>
      <c r="G161" s="425">
        <f t="shared" si="70"/>
        <v>0.49328155912282184</v>
      </c>
      <c r="H161" s="425">
        <f t="shared" si="70"/>
        <v>0.63903483177946507</v>
      </c>
      <c r="I161" s="425">
        <f t="shared" si="70"/>
        <v>0.58377205223244566</v>
      </c>
      <c r="J161" s="425">
        <f t="shared" si="70"/>
        <v>0.6504449334153577</v>
      </c>
      <c r="K161" s="425">
        <f t="shared" si="70"/>
        <v>0.59525125310786586</v>
      </c>
      <c r="L161" s="425">
        <f t="shared" si="70"/>
        <v>0.65217060737651722</v>
      </c>
      <c r="M161" s="425">
        <f t="shared" si="70"/>
        <v>0.59942007615525217</v>
      </c>
      <c r="N161" s="425">
        <f t="shared" si="70"/>
        <v>0.62587960603541437</v>
      </c>
      <c r="O161" s="425">
        <f t="shared" si="70"/>
        <v>0.67869050437036205</v>
      </c>
      <c r="P161" s="426">
        <f t="shared" si="69"/>
        <v>0.58247821147970902</v>
      </c>
      <c r="Q161" s="426">
        <f t="shared" si="67"/>
        <v>0.53169711481596638</v>
      </c>
    </row>
    <row r="162" spans="1:17">
      <c r="A162" s="627">
        <v>4</v>
      </c>
      <c r="B162" s="533">
        <f t="shared" si="65"/>
        <v>0</v>
      </c>
      <c r="C162" s="380"/>
      <c r="D162" s="425">
        <f t="shared" ref="D162:O162" si="71">(D7/D$157)/D48</f>
        <v>0.67973424694389051</v>
      </c>
      <c r="E162" s="425">
        <f t="shared" si="71"/>
        <v>0.71356376403000255</v>
      </c>
      <c r="F162" s="425">
        <f t="shared" si="71"/>
        <v>0.59290537731756954</v>
      </c>
      <c r="G162" s="425">
        <f t="shared" si="71"/>
        <v>0.60980286803326167</v>
      </c>
      <c r="H162" s="425">
        <f t="shared" si="71"/>
        <v>0.78196133952440805</v>
      </c>
      <c r="I162" s="425">
        <f t="shared" si="71"/>
        <v>0.69723328631522685</v>
      </c>
      <c r="J162" s="425">
        <f t="shared" si="71"/>
        <v>0.76084945222666645</v>
      </c>
      <c r="K162" s="425">
        <f t="shared" si="71"/>
        <v>0.65601884519644837</v>
      </c>
      <c r="L162" s="425">
        <f t="shared" si="71"/>
        <v>0.64367576145246708</v>
      </c>
      <c r="M162" s="425">
        <f t="shared" si="71"/>
        <v>0.6030014759573995</v>
      </c>
      <c r="N162" s="425">
        <f t="shared" si="71"/>
        <v>0.65780352784029161</v>
      </c>
      <c r="O162" s="425">
        <f t="shared" si="71"/>
        <v>0.63557111714136205</v>
      </c>
      <c r="P162" s="426">
        <f t="shared" si="69"/>
        <v>0.66934342183158291</v>
      </c>
      <c r="Q162" s="426">
        <f t="shared" si="67"/>
        <v>0.58127186011841792</v>
      </c>
    </row>
    <row r="163" spans="1:17">
      <c r="A163" s="627">
        <v>5</v>
      </c>
      <c r="B163" s="533">
        <f t="shared" si="65"/>
        <v>0</v>
      </c>
      <c r="C163" s="380"/>
      <c r="D163" s="425">
        <f t="shared" ref="D163:O163" si="72">(D8/D$157)/D49</f>
        <v>0.74372094293277113</v>
      </c>
      <c r="E163" s="425">
        <f t="shared" si="72"/>
        <v>0.75164523289663188</v>
      </c>
      <c r="F163" s="425">
        <f t="shared" si="72"/>
        <v>0.62437923650341054</v>
      </c>
      <c r="G163" s="425">
        <f t="shared" si="72"/>
        <v>0.69318160544650675</v>
      </c>
      <c r="H163" s="425">
        <f t="shared" si="72"/>
        <v>0.85313308189513271</v>
      </c>
      <c r="I163" s="425">
        <f t="shared" si="72"/>
        <v>0.80452045682934581</v>
      </c>
      <c r="J163" s="425">
        <f t="shared" si="72"/>
        <v>0.8024192139232883</v>
      </c>
      <c r="K163" s="425">
        <f t="shared" si="72"/>
        <v>0.72380251838563225</v>
      </c>
      <c r="L163" s="425">
        <f t="shared" si="72"/>
        <v>0.83920541651540037</v>
      </c>
      <c r="M163" s="425">
        <f t="shared" si="72"/>
        <v>0.68314339422806625</v>
      </c>
      <c r="N163" s="425">
        <f t="shared" si="72"/>
        <v>0.67935103915305828</v>
      </c>
      <c r="O163" s="425">
        <f t="shared" si="72"/>
        <v>0.70596832334099091</v>
      </c>
      <c r="P163" s="426">
        <f t="shared" si="69"/>
        <v>0.74203920517085298</v>
      </c>
      <c r="Q163" s="426">
        <f t="shared" si="67"/>
        <v>0.63064781740543741</v>
      </c>
    </row>
    <row r="164" spans="1:17">
      <c r="A164" s="627">
        <v>6</v>
      </c>
      <c r="B164" s="533">
        <f t="shared" si="65"/>
        <v>0</v>
      </c>
      <c r="C164" s="380"/>
      <c r="D164" s="425">
        <f t="shared" ref="D164:O164" si="73">(D9/D$157)/D50</f>
        <v>0.52785915201535716</v>
      </c>
      <c r="E164" s="425">
        <f t="shared" si="73"/>
        <v>0.49960407876471929</v>
      </c>
      <c r="F164" s="425">
        <f t="shared" si="73"/>
        <v>0.47906182550069643</v>
      </c>
      <c r="G164" s="425">
        <f t="shared" si="73"/>
        <v>0.54609968979803392</v>
      </c>
      <c r="H164" s="425">
        <f t="shared" si="73"/>
        <v>0.71138542027883978</v>
      </c>
      <c r="I164" s="425">
        <f t="shared" si="73"/>
        <v>0.69123163016624711</v>
      </c>
      <c r="J164" s="425">
        <f t="shared" si="73"/>
        <v>0.65816091787769027</v>
      </c>
      <c r="K164" s="425">
        <f t="shared" si="73"/>
        <v>0.59068454520199143</v>
      </c>
      <c r="L164" s="425">
        <f t="shared" si="73"/>
        <v>0.68263272226213123</v>
      </c>
      <c r="M164" s="425">
        <f t="shared" si="73"/>
        <v>0.58302162373807542</v>
      </c>
      <c r="N164" s="425">
        <f t="shared" si="73"/>
        <v>0.46707679667058849</v>
      </c>
      <c r="O164" s="425">
        <f t="shared" si="73"/>
        <v>0.5283082443882483</v>
      </c>
      <c r="P164" s="426">
        <f t="shared" si="69"/>
        <v>0.58042722055521823</v>
      </c>
      <c r="Q164" s="426">
        <f t="shared" si="67"/>
        <v>0.47447693883390896</v>
      </c>
    </row>
    <row r="165" spans="1:17">
      <c r="A165" s="627">
        <v>7</v>
      </c>
      <c r="B165" s="533">
        <f t="shared" si="65"/>
        <v>0</v>
      </c>
      <c r="C165" s="380"/>
      <c r="D165" s="425">
        <f t="shared" ref="D165:O165" si="74">(D10/D$157)/D51</f>
        <v>0.61519917948191849</v>
      </c>
      <c r="E165" s="425">
        <f t="shared" si="74"/>
        <v>0.66876293992578872</v>
      </c>
      <c r="F165" s="425">
        <f t="shared" si="74"/>
        <v>0.60162944970974508</v>
      </c>
      <c r="G165" s="425">
        <f t="shared" si="74"/>
        <v>0.65151453851546681</v>
      </c>
      <c r="H165" s="425">
        <f t="shared" si="74"/>
        <v>0.70535671922999776</v>
      </c>
      <c r="I165" s="425">
        <f t="shared" si="74"/>
        <v>0.63757004192276934</v>
      </c>
      <c r="J165" s="425">
        <f t="shared" si="74"/>
        <v>0.63651121714222547</v>
      </c>
      <c r="K165" s="425">
        <f t="shared" si="74"/>
        <v>0.56554295868354743</v>
      </c>
      <c r="L165" s="425">
        <f t="shared" si="74"/>
        <v>0.66036766177520678</v>
      </c>
      <c r="M165" s="425">
        <f t="shared" si="74"/>
        <v>0.63308901685097663</v>
      </c>
      <c r="N165" s="425">
        <f t="shared" si="74"/>
        <v>0.60683706161225148</v>
      </c>
      <c r="O165" s="425">
        <f t="shared" si="74"/>
        <v>0.54176432572855016</v>
      </c>
      <c r="P165" s="426">
        <f t="shared" si="69"/>
        <v>0.62701209254820378</v>
      </c>
      <c r="Q165" s="426">
        <f t="shared" si="67"/>
        <v>0.56172117153070256</v>
      </c>
    </row>
    <row r="166" spans="1:17">
      <c r="A166" s="627">
        <v>8</v>
      </c>
      <c r="B166" s="533">
        <f t="shared" si="65"/>
        <v>0</v>
      </c>
      <c r="C166" s="380"/>
      <c r="D166" s="425">
        <f t="shared" ref="D166:O166" si="75">(D11/D$157)/D52</f>
        <v>0.33229344674534078</v>
      </c>
      <c r="E166" s="425">
        <f t="shared" si="75"/>
        <v>0.38963667495582749</v>
      </c>
      <c r="F166" s="425">
        <f t="shared" si="75"/>
        <v>0.35653724162584205</v>
      </c>
      <c r="G166" s="425">
        <f t="shared" si="75"/>
        <v>0.33150142640705887</v>
      </c>
      <c r="H166" s="425">
        <f t="shared" si="75"/>
        <v>0.35034852770254571</v>
      </c>
      <c r="I166" s="425">
        <f t="shared" si="75"/>
        <v>0.31431931898091703</v>
      </c>
      <c r="J166" s="425">
        <f t="shared" si="75"/>
        <v>0.32616042220984282</v>
      </c>
      <c r="K166" s="425">
        <f t="shared" si="75"/>
        <v>0.28867580397911985</v>
      </c>
      <c r="L166" s="425">
        <f t="shared" si="75"/>
        <v>0.28608799042912753</v>
      </c>
      <c r="M166" s="425">
        <f t="shared" si="75"/>
        <v>0.30045503085657915</v>
      </c>
      <c r="N166" s="425">
        <f t="shared" si="75"/>
        <v>0.32509874446217496</v>
      </c>
      <c r="O166" s="425">
        <f t="shared" si="75"/>
        <v>0.34096731044715317</v>
      </c>
      <c r="P166" s="426">
        <f t="shared" si="69"/>
        <v>0.32850682823346078</v>
      </c>
      <c r="Q166" s="426">
        <f t="shared" si="67"/>
        <v>0.30072735222801406</v>
      </c>
    </row>
    <row r="167" spans="1:17">
      <c r="A167" s="627">
        <v>9</v>
      </c>
      <c r="B167" s="533">
        <f t="shared" si="65"/>
        <v>0</v>
      </c>
      <c r="C167" s="380"/>
      <c r="D167" s="425">
        <f t="shared" ref="D167:O167" si="76">(D12/D$157)/D53</f>
        <v>0.6386797546271521</v>
      </c>
      <c r="E167" s="425">
        <f t="shared" si="76"/>
        <v>0.90577929010567249</v>
      </c>
      <c r="F167" s="425">
        <f t="shared" si="76"/>
        <v>0.86128938068581118</v>
      </c>
      <c r="G167" s="425">
        <f t="shared" si="76"/>
        <v>0.87297854894240667</v>
      </c>
      <c r="H167" s="425">
        <f t="shared" si="76"/>
        <v>0.88978900686106022</v>
      </c>
      <c r="I167" s="425">
        <f t="shared" si="76"/>
        <v>0.72493674039418021</v>
      </c>
      <c r="J167" s="425">
        <f t="shared" si="76"/>
        <v>0.89601681339387096</v>
      </c>
      <c r="K167" s="425">
        <f t="shared" si="76"/>
        <v>0.78623201198893145</v>
      </c>
      <c r="L167" s="425">
        <f t="shared" si="76"/>
        <v>0.90843715198703201</v>
      </c>
      <c r="M167" s="425">
        <f t="shared" si="76"/>
        <v>0.86207473327604567</v>
      </c>
      <c r="N167" s="425">
        <f t="shared" si="76"/>
        <v>0.69966060823160436</v>
      </c>
      <c r="O167" s="425">
        <f t="shared" si="76"/>
        <v>0.87598817140940854</v>
      </c>
      <c r="P167" s="426">
        <f t="shared" si="69"/>
        <v>0.8268218509919314</v>
      </c>
      <c r="Q167" s="426">
        <f t="shared" si="67"/>
        <v>0.80126493827492185</v>
      </c>
    </row>
    <row r="168" spans="1:17">
      <c r="A168" s="627">
        <v>10</v>
      </c>
      <c r="B168" s="533">
        <f t="shared" si="65"/>
        <v>0</v>
      </c>
      <c r="C168" s="380"/>
      <c r="D168" s="425">
        <f t="shared" ref="D168:O168" si="77">(D13/D$157)/D54</f>
        <v>0.4876552957852085</v>
      </c>
      <c r="E168" s="425">
        <f t="shared" si="77"/>
        <v>0.82847973277030473</v>
      </c>
      <c r="F168" s="425">
        <f t="shared" si="77"/>
        <v>0.80150512713451594</v>
      </c>
      <c r="G168" s="425">
        <f t="shared" si="77"/>
        <v>0.77001613341223019</v>
      </c>
      <c r="H168" s="425">
        <f t="shared" si="77"/>
        <v>0.72926022474807528</v>
      </c>
      <c r="I168" s="425">
        <f t="shared" si="77"/>
        <v>0.59299219693400285</v>
      </c>
      <c r="J168" s="425">
        <f t="shared" si="77"/>
        <v>0.81479256107199272</v>
      </c>
      <c r="K168" s="425">
        <f t="shared" si="77"/>
        <v>0.70888008976170258</v>
      </c>
      <c r="L168" s="425">
        <f t="shared" si="77"/>
        <v>0.71691888445692353</v>
      </c>
      <c r="M168" s="425">
        <f t="shared" si="77"/>
        <v>0.70022809055767454</v>
      </c>
      <c r="N168" s="425">
        <f t="shared" si="77"/>
        <v>0.7520905613627763</v>
      </c>
      <c r="O168" s="425">
        <f t="shared" si="77"/>
        <v>0.81498133813667839</v>
      </c>
      <c r="P168" s="426">
        <f t="shared" si="69"/>
        <v>0.72648335301100719</v>
      </c>
      <c r="Q168" s="426">
        <f t="shared" si="67"/>
        <v>0.69693197678868612</v>
      </c>
    </row>
    <row r="169" spans="1:17">
      <c r="A169" s="627">
        <v>11</v>
      </c>
      <c r="B169" s="533">
        <f t="shared" si="65"/>
        <v>0</v>
      </c>
      <c r="C169" s="380"/>
      <c r="D169" s="425">
        <f t="shared" ref="D169:O169" si="78">(D14/D$157)/D55</f>
        <v>0.70821181002083389</v>
      </c>
      <c r="E169" s="425">
        <f t="shared" si="78"/>
        <v>0.7779639624845418</v>
      </c>
      <c r="F169" s="425">
        <f t="shared" si="78"/>
        <v>0.67516948986976555</v>
      </c>
      <c r="G169" s="425">
        <f t="shared" si="78"/>
        <v>0.71396161849221773</v>
      </c>
      <c r="H169" s="425">
        <f t="shared" si="78"/>
        <v>0.91684413503544138</v>
      </c>
      <c r="I169" s="425">
        <f t="shared" si="78"/>
        <v>0.86166262102404501</v>
      </c>
      <c r="J169" s="425">
        <f t="shared" si="78"/>
        <v>0.8950722757450148</v>
      </c>
      <c r="K169" s="425">
        <f t="shared" si="78"/>
        <v>0.76371311226127669</v>
      </c>
      <c r="L169" s="425">
        <f t="shared" si="78"/>
        <v>0.89054354472122865</v>
      </c>
      <c r="M169" s="425">
        <f t="shared" si="78"/>
        <v>0.72680745674119129</v>
      </c>
      <c r="N169" s="425">
        <f t="shared" si="78"/>
        <v>0.71826572859432913</v>
      </c>
      <c r="O169" s="425">
        <f t="shared" si="78"/>
        <v>0.74100513731575257</v>
      </c>
      <c r="P169" s="426">
        <f t="shared" si="69"/>
        <v>0.78243507435880322</v>
      </c>
      <c r="Q169" s="426">
        <f t="shared" si="67"/>
        <v>0.59754676553405373</v>
      </c>
    </row>
    <row r="170" spans="1:17">
      <c r="A170" s="627">
        <v>12</v>
      </c>
      <c r="B170" s="533">
        <f t="shared" si="65"/>
        <v>0</v>
      </c>
      <c r="C170" s="380"/>
      <c r="D170" s="425">
        <f t="shared" ref="D170:O170" si="79">(D15/D$157)/D56</f>
        <v>0.59587545555967547</v>
      </c>
      <c r="E170" s="425">
        <f t="shared" si="79"/>
        <v>0.65983031295214234</v>
      </c>
      <c r="F170" s="425">
        <f t="shared" si="79"/>
        <v>0.58352771738367015</v>
      </c>
      <c r="G170" s="425">
        <f t="shared" si="79"/>
        <v>0.57321610044915594</v>
      </c>
      <c r="H170" s="425">
        <f t="shared" si="79"/>
        <v>0.76138203752717781</v>
      </c>
      <c r="I170" s="425">
        <f t="shared" si="79"/>
        <v>0.71565274775690413</v>
      </c>
      <c r="J170" s="425">
        <f t="shared" si="79"/>
        <v>0.7458904852540289</v>
      </c>
      <c r="K170" s="425">
        <f t="shared" si="79"/>
        <v>0.66035837465951008</v>
      </c>
      <c r="L170" s="425">
        <f t="shared" si="79"/>
        <v>0.75188168730043137</v>
      </c>
      <c r="M170" s="425">
        <f t="shared" si="79"/>
        <v>0.60750762765143729</v>
      </c>
      <c r="N170" s="425">
        <f t="shared" si="79"/>
        <v>0.63673138032036569</v>
      </c>
      <c r="O170" s="425">
        <f t="shared" si="79"/>
        <v>0.6529213330907967</v>
      </c>
      <c r="P170" s="426">
        <f t="shared" si="69"/>
        <v>0.66206460499210806</v>
      </c>
      <c r="Q170" s="426">
        <f t="shared" si="67"/>
        <v>0.50897523356117758</v>
      </c>
    </row>
    <row r="171" spans="1:17">
      <c r="A171" s="627">
        <v>13</v>
      </c>
      <c r="B171" s="533">
        <f t="shared" si="65"/>
        <v>0</v>
      </c>
      <c r="C171" s="380"/>
      <c r="D171" s="425">
        <f t="shared" ref="D171:O171" si="80">(D16/D$157)/D57</f>
        <v>0.21337121750572846</v>
      </c>
      <c r="E171" s="425">
        <f t="shared" si="80"/>
        <v>0.22117114806165303</v>
      </c>
      <c r="F171" s="425">
        <f t="shared" si="80"/>
        <v>0.18964737191375405</v>
      </c>
      <c r="G171" s="425">
        <f t="shared" si="80"/>
        <v>0.2135612308342158</v>
      </c>
      <c r="H171" s="425">
        <f t="shared" si="80"/>
        <v>0.22846738359539576</v>
      </c>
      <c r="I171" s="425">
        <f t="shared" si="80"/>
        <v>0.18558141203996445</v>
      </c>
      <c r="J171" s="425">
        <f t="shared" si="80"/>
        <v>0.24924472576651885</v>
      </c>
      <c r="K171" s="425">
        <f t="shared" si="80"/>
        <v>0.21523717404835621</v>
      </c>
      <c r="L171" s="425">
        <f t="shared" si="80"/>
        <v>0.24967708979640327</v>
      </c>
      <c r="M171" s="425">
        <f t="shared" si="80"/>
        <v>0.20209708633314225</v>
      </c>
      <c r="N171" s="425">
        <f t="shared" si="80"/>
        <v>0.1979083981491282</v>
      </c>
      <c r="O171" s="425">
        <f t="shared" si="80"/>
        <v>0.20336989782413614</v>
      </c>
      <c r="P171" s="426">
        <f t="shared" si="69"/>
        <v>0.21411117798903304</v>
      </c>
      <c r="Q171" s="426">
        <f t="shared" si="67"/>
        <v>0.2060041264007379</v>
      </c>
    </row>
    <row r="172" spans="1:17">
      <c r="A172" s="627">
        <v>14</v>
      </c>
      <c r="B172" s="533">
        <f t="shared" si="65"/>
        <v>0</v>
      </c>
      <c r="C172" s="380"/>
      <c r="D172" s="425">
        <f t="shared" ref="D172:O172" si="81">(D17/D$157)/D58</f>
        <v>0.53282795064282562</v>
      </c>
      <c r="E172" s="425">
        <f t="shared" si="81"/>
        <v>0.59788219043931545</v>
      </c>
      <c r="F172" s="425">
        <f t="shared" si="81"/>
        <v>0.41863851753540232</v>
      </c>
      <c r="G172" s="425">
        <f t="shared" si="81"/>
        <v>0.58063573207058383</v>
      </c>
      <c r="H172" s="425">
        <f t="shared" si="81"/>
        <v>0.61636771459277484</v>
      </c>
      <c r="I172" s="425">
        <f t="shared" si="81"/>
        <v>0.58780156614249468</v>
      </c>
      <c r="J172" s="425">
        <f t="shared" si="81"/>
        <v>0.61093502155112012</v>
      </c>
      <c r="K172" s="425">
        <f t="shared" si="81"/>
        <v>0.587528798731207</v>
      </c>
      <c r="L172" s="425">
        <f t="shared" si="81"/>
        <v>0.62186904522782038</v>
      </c>
      <c r="M172" s="425">
        <f t="shared" si="81"/>
        <v>0.57604068028910804</v>
      </c>
      <c r="N172" s="425">
        <f t="shared" si="81"/>
        <v>0.54294824924276341</v>
      </c>
      <c r="O172" s="425">
        <f t="shared" si="81"/>
        <v>0.50707305813710735</v>
      </c>
      <c r="P172" s="426">
        <f t="shared" si="69"/>
        <v>0.56504571038354345</v>
      </c>
      <c r="Q172" s="426">
        <f t="shared" si="67"/>
        <v>0.50749318628706552</v>
      </c>
    </row>
    <row r="173" spans="1:17">
      <c r="A173" s="627">
        <v>15</v>
      </c>
      <c r="B173" s="533">
        <f t="shared" si="65"/>
        <v>0</v>
      </c>
      <c r="C173" s="380"/>
      <c r="D173" s="425">
        <f t="shared" ref="D173:O173" si="82">(D18/D$157)/D59</f>
        <v>0.84172984186052979</v>
      </c>
      <c r="E173" s="425">
        <f t="shared" si="82"/>
        <v>0.82472596496402772</v>
      </c>
      <c r="F173" s="425">
        <f t="shared" si="82"/>
        <v>0.77956587687840828</v>
      </c>
      <c r="G173" s="425">
        <f t="shared" si="82"/>
        <v>0.82149558851765891</v>
      </c>
      <c r="H173" s="425">
        <f t="shared" si="82"/>
        <v>0.87651789234873223</v>
      </c>
      <c r="I173" s="425">
        <f t="shared" si="82"/>
        <v>0.79354116092197813</v>
      </c>
      <c r="J173" s="425">
        <f t="shared" si="82"/>
        <v>0.83836511426285965</v>
      </c>
      <c r="K173" s="425">
        <f t="shared" si="82"/>
        <v>0.74741945029541801</v>
      </c>
      <c r="L173" s="425">
        <f t="shared" si="82"/>
        <v>0.82767311507686381</v>
      </c>
      <c r="M173" s="425">
        <f t="shared" si="82"/>
        <v>0.75776859818135955</v>
      </c>
      <c r="N173" s="425">
        <f t="shared" si="82"/>
        <v>0.79298826493878927</v>
      </c>
      <c r="O173" s="425">
        <f t="shared" si="82"/>
        <v>0.8488793141720522</v>
      </c>
      <c r="P173" s="426">
        <f t="shared" si="69"/>
        <v>0.81255584853488971</v>
      </c>
      <c r="Q173" s="426">
        <f t="shared" si="67"/>
        <v>0.76450075978182108</v>
      </c>
    </row>
    <row r="174" spans="1:17">
      <c r="A174" s="627">
        <v>16</v>
      </c>
      <c r="B174" s="533">
        <f t="shared" si="65"/>
        <v>0</v>
      </c>
      <c r="C174" s="380"/>
      <c r="D174" s="425">
        <f t="shared" ref="D174:O174" si="83">(D19/D$157)/D60</f>
        <v>0.65608139965657175</v>
      </c>
      <c r="E174" s="425">
        <f t="shared" si="83"/>
        <v>0.73211089395854734</v>
      </c>
      <c r="F174" s="425">
        <f t="shared" si="83"/>
        <v>0.5831850954154717</v>
      </c>
      <c r="G174" s="425">
        <f t="shared" si="83"/>
        <v>0.60143554313583647</v>
      </c>
      <c r="H174" s="425">
        <f t="shared" si="83"/>
        <v>0.78709245266862138</v>
      </c>
      <c r="I174" s="425">
        <f t="shared" si="83"/>
        <v>0.77401573342431784</v>
      </c>
      <c r="J174" s="425">
        <f t="shared" si="83"/>
        <v>0.78537395154378831</v>
      </c>
      <c r="K174" s="425">
        <f t="shared" si="83"/>
        <v>0.68048704724871067</v>
      </c>
      <c r="L174" s="425">
        <f t="shared" si="83"/>
        <v>0.76815093448984717</v>
      </c>
      <c r="M174" s="425">
        <f t="shared" si="83"/>
        <v>0.69532167760659935</v>
      </c>
      <c r="N174" s="425">
        <f t="shared" si="83"/>
        <v>0.63756385725355647</v>
      </c>
      <c r="O174" s="425">
        <f t="shared" si="83"/>
        <v>0.61814229243486196</v>
      </c>
      <c r="P174" s="426">
        <f t="shared" si="69"/>
        <v>0.69324673990306096</v>
      </c>
      <c r="Q174" s="426">
        <f t="shared" si="67"/>
        <v>0.53153627789901803</v>
      </c>
    </row>
    <row r="175" spans="1:17">
      <c r="A175" s="627">
        <v>17</v>
      </c>
      <c r="B175" s="533">
        <f t="shared" si="65"/>
        <v>0</v>
      </c>
      <c r="C175" s="380"/>
      <c r="D175" s="425">
        <f t="shared" ref="D175:O175" si="84">(D20/D$157)/D61</f>
        <v>0.85357123118919331</v>
      </c>
      <c r="E175" s="425">
        <f t="shared" si="84"/>
        <v>0.80415141471049401</v>
      </c>
      <c r="F175" s="425">
        <f t="shared" si="84"/>
        <v>0.76126164674703323</v>
      </c>
      <c r="G175" s="425">
        <f t="shared" si="84"/>
        <v>0.75008485468197084</v>
      </c>
      <c r="H175" s="425">
        <f t="shared" si="84"/>
        <v>0.83964861820281045</v>
      </c>
      <c r="I175" s="425">
        <f t="shared" si="84"/>
        <v>0.79441629081228082</v>
      </c>
      <c r="J175" s="425">
        <f t="shared" si="84"/>
        <v>0.85563525248868821</v>
      </c>
      <c r="K175" s="425">
        <f t="shared" si="84"/>
        <v>0.74454466223481852</v>
      </c>
      <c r="L175" s="425">
        <f t="shared" si="84"/>
        <v>0.81448510190442902</v>
      </c>
      <c r="M175" s="425">
        <f t="shared" si="84"/>
        <v>0.77795709147136416</v>
      </c>
      <c r="N175" s="425">
        <f t="shared" si="84"/>
        <v>0.79896683999913631</v>
      </c>
      <c r="O175" s="425">
        <f t="shared" si="84"/>
        <v>0.75027336796873456</v>
      </c>
      <c r="P175" s="426">
        <f t="shared" si="69"/>
        <v>0.79541636436757945</v>
      </c>
      <c r="Q175" s="426">
        <f t="shared" si="67"/>
        <v>0.71329037249467853</v>
      </c>
    </row>
    <row r="176" spans="1:17">
      <c r="A176" s="627">
        <v>18</v>
      </c>
      <c r="B176" s="533">
        <f t="shared" si="65"/>
        <v>0</v>
      </c>
      <c r="C176" s="380"/>
      <c r="D176" s="425">
        <f t="shared" ref="D176:O176" si="85">(D21/D$157)/D62</f>
        <v>0.73561756617738483</v>
      </c>
      <c r="E176" s="425">
        <f t="shared" si="85"/>
        <v>0.75511544662807972</v>
      </c>
      <c r="F176" s="425">
        <f t="shared" si="85"/>
        <v>0.71927992532540785</v>
      </c>
      <c r="G176" s="425">
        <f t="shared" si="85"/>
        <v>0.73096618254736145</v>
      </c>
      <c r="H176" s="425">
        <f t="shared" si="85"/>
        <v>0.78418114057541566</v>
      </c>
      <c r="I176" s="425">
        <f t="shared" si="85"/>
        <v>0.5971484848840537</v>
      </c>
      <c r="J176" s="425">
        <f t="shared" si="85"/>
        <v>0.75223076490881913</v>
      </c>
      <c r="K176" s="425">
        <f t="shared" si="85"/>
        <v>0.68380294821915666</v>
      </c>
      <c r="L176" s="425">
        <f t="shared" si="85"/>
        <v>0.76620246470926756</v>
      </c>
      <c r="M176" s="425">
        <f t="shared" si="85"/>
        <v>0.67995227992642171</v>
      </c>
      <c r="N176" s="425">
        <f t="shared" si="85"/>
        <v>0.58849156018417503</v>
      </c>
      <c r="O176" s="425">
        <f t="shared" si="85"/>
        <v>0.7217663807785436</v>
      </c>
      <c r="P176" s="426">
        <f t="shared" si="69"/>
        <v>0.70956292873867388</v>
      </c>
      <c r="Q176" s="426">
        <f t="shared" si="67"/>
        <v>0.52889829900310992</v>
      </c>
    </row>
    <row r="177" spans="1:17">
      <c r="A177" s="627">
        <v>19</v>
      </c>
      <c r="B177" s="533">
        <f t="shared" si="65"/>
        <v>0</v>
      </c>
      <c r="C177" s="380"/>
      <c r="D177" s="425">
        <f t="shared" ref="D177:O177" si="86">(D22/D$157)/D63</f>
        <v>0.70528269430203738</v>
      </c>
      <c r="E177" s="425">
        <f t="shared" si="86"/>
        <v>0.73023210525338311</v>
      </c>
      <c r="F177" s="425">
        <f t="shared" si="86"/>
        <v>0.65409276296697261</v>
      </c>
      <c r="G177" s="425">
        <f t="shared" si="86"/>
        <v>0.54197837030033547</v>
      </c>
      <c r="H177" s="425">
        <f t="shared" si="86"/>
        <v>0.72830059315847329</v>
      </c>
      <c r="I177" s="425">
        <f t="shared" si="86"/>
        <v>0.62818262171690309</v>
      </c>
      <c r="J177" s="425">
        <f t="shared" si="86"/>
        <v>0.67125866547473656</v>
      </c>
      <c r="K177" s="425">
        <f t="shared" si="86"/>
        <v>0.62497462142348881</v>
      </c>
      <c r="L177" s="425">
        <f t="shared" si="86"/>
        <v>0.71042554266536706</v>
      </c>
      <c r="M177" s="425">
        <f t="shared" si="86"/>
        <v>0.55556637117819352</v>
      </c>
      <c r="N177" s="425">
        <f t="shared" si="86"/>
        <v>0.43146975160455686</v>
      </c>
      <c r="O177" s="425">
        <f t="shared" si="86"/>
        <v>0.65921745831889578</v>
      </c>
      <c r="P177" s="426">
        <f t="shared" si="69"/>
        <v>0.63674846319694534</v>
      </c>
      <c r="Q177" s="426">
        <f t="shared" si="67"/>
        <v>0.4493978423536914</v>
      </c>
    </row>
    <row r="178" spans="1:17" s="614" customFormat="1">
      <c r="A178" s="18">
        <v>20</v>
      </c>
      <c r="B178" s="533">
        <f t="shared" si="65"/>
        <v>0</v>
      </c>
      <c r="C178" s="380"/>
      <c r="D178" s="425">
        <f t="shared" ref="D178:O178" si="87">(D23/D$157)/D64</f>
        <v>0.61847277476561324</v>
      </c>
      <c r="E178" s="425">
        <f t="shared" si="87"/>
        <v>0.61969199873246794</v>
      </c>
      <c r="F178" s="425">
        <f t="shared" si="87"/>
        <v>0.617283311893147</v>
      </c>
      <c r="G178" s="425">
        <f t="shared" si="87"/>
        <v>0.67093086449937522</v>
      </c>
      <c r="H178" s="425">
        <f t="shared" si="87"/>
        <v>0.73905137498454376</v>
      </c>
      <c r="I178" s="425">
        <f t="shared" si="87"/>
        <v>0.40332303907680872</v>
      </c>
      <c r="J178" s="425">
        <f t="shared" si="87"/>
        <v>0.65005036364562174</v>
      </c>
      <c r="K178" s="425">
        <f t="shared" si="87"/>
        <v>0.58376456221787498</v>
      </c>
      <c r="L178" s="425">
        <f t="shared" si="87"/>
        <v>0.56416053260064836</v>
      </c>
      <c r="M178" s="425">
        <f t="shared" si="87"/>
        <v>0.62368672346099785</v>
      </c>
      <c r="N178" s="425">
        <f t="shared" si="87"/>
        <v>0.53054395937869692</v>
      </c>
      <c r="O178" s="425">
        <f t="shared" si="87"/>
        <v>0.61894527914711295</v>
      </c>
      <c r="P178" s="426">
        <f t="shared" ref="P178:P179" si="88">AVERAGE(D178:O178)</f>
        <v>0.60332539870024238</v>
      </c>
      <c r="Q178" s="426">
        <f t="shared" si="67"/>
        <v>0.53201150803895825</v>
      </c>
    </row>
    <row r="179" spans="1:17" s="614" customFormat="1">
      <c r="A179" s="627">
        <v>21</v>
      </c>
      <c r="B179" s="533">
        <f t="shared" si="65"/>
        <v>0</v>
      </c>
      <c r="C179" s="380"/>
      <c r="D179" s="425">
        <f t="shared" ref="D179:O179" si="89">(D24/D$157)/D65</f>
        <v>0.25230296287172238</v>
      </c>
      <c r="E179" s="425">
        <f t="shared" si="89"/>
        <v>0.2797629887988109</v>
      </c>
      <c r="F179" s="425">
        <f t="shared" si="89"/>
        <v>0.24519750784305086</v>
      </c>
      <c r="G179" s="425">
        <f t="shared" si="89"/>
        <v>0.26520343219532255</v>
      </c>
      <c r="H179" s="425">
        <f t="shared" si="89"/>
        <v>0.30288183401728364</v>
      </c>
      <c r="I179" s="425">
        <f t="shared" si="89"/>
        <v>0.27741713225967063</v>
      </c>
      <c r="J179" s="425">
        <f t="shared" si="89"/>
        <v>0.30550908384459091</v>
      </c>
      <c r="K179" s="425">
        <f t="shared" si="89"/>
        <v>0.28437813962449504</v>
      </c>
      <c r="L179" s="425">
        <f t="shared" si="89"/>
        <v>0.3107642737288599</v>
      </c>
      <c r="M179" s="425">
        <f t="shared" si="89"/>
        <v>0.26839107812551272</v>
      </c>
      <c r="N179" s="425">
        <f t="shared" si="89"/>
        <v>0.25661689457270043</v>
      </c>
      <c r="O179" s="425">
        <f t="shared" si="89"/>
        <v>0.27108064761084605</v>
      </c>
      <c r="P179" s="426">
        <f t="shared" si="88"/>
        <v>0.27662549795773878</v>
      </c>
      <c r="Q179" s="426">
        <f t="shared" si="67"/>
        <v>0.26390457941732176</v>
      </c>
    </row>
  </sheetData>
  <phoneticPr fontId="0" type="noConversion"/>
  <conditionalFormatting sqref="P36:P37">
    <cfRule type="expression" dxfId="26" priority="2" stopIfTrue="1">
      <formula>ABS(P36-#REF!)&gt;1</formula>
    </cfRule>
  </conditionalFormatting>
  <conditionalFormatting sqref="S26">
    <cfRule type="cellIs" dxfId="25" priority="1" operator="notEqual">
      <formula>$P$25</formula>
    </cfRule>
    <cfRule type="expression" dxfId="24" priority="3" stopIfTrue="1">
      <formula>ABS($P$25-$S$26)&gt;0.5</formula>
    </cfRule>
  </conditionalFormatting>
  <printOptions horizontalCentered="1"/>
  <pageMargins left="0.25" right="0.25" top="0.87" bottom="0.21" header="0.4" footer="0.18"/>
  <pageSetup scale="54" fitToHeight="2" orientation="landscape" r:id="rId1"/>
  <headerFooter alignWithMargins="0"/>
  <rowBreaks count="1" manualBreakCount="1">
    <brk id="68" max="1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1:S42"/>
  <sheetViews>
    <sheetView showGridLines="0" zoomScale="115" zoomScaleNormal="115" zoomScaleSheetLayoutView="100" workbookViewId="0">
      <selection activeCell="K24" sqref="K24"/>
    </sheetView>
  </sheetViews>
  <sheetFormatPr defaultColWidth="11.42578125" defaultRowHeight="12.75"/>
  <cols>
    <col min="1" max="1" width="9.28515625" customWidth="1"/>
    <col min="2" max="2" width="15.42578125" customWidth="1"/>
    <col min="3" max="3" width="11.42578125" customWidth="1"/>
    <col min="4" max="4" width="12.42578125" customWidth="1"/>
    <col min="5" max="5" width="1.7109375" customWidth="1"/>
    <col min="6" max="6" width="11.42578125" customWidth="1"/>
    <col min="7" max="7" width="13.42578125" customWidth="1"/>
    <col min="8" max="8" width="1.7109375" customWidth="1"/>
    <col min="9" max="9" width="14" bestFit="1" customWidth="1"/>
    <col min="12" max="12" width="14" bestFit="1" customWidth="1"/>
    <col min="14" max="14" width="12.7109375" style="430" customWidth="1"/>
  </cols>
  <sheetData>
    <row r="1" spans="2:19">
      <c r="B1" s="129" t="s">
        <v>78</v>
      </c>
      <c r="C1" s="53"/>
      <c r="D1" s="54"/>
      <c r="E1" s="53"/>
      <c r="F1" s="53"/>
      <c r="G1" s="53"/>
      <c r="H1" s="53"/>
      <c r="I1" s="53"/>
      <c r="J1" s="53"/>
    </row>
    <row r="2" spans="2:19">
      <c r="B2" s="129" t="s">
        <v>365</v>
      </c>
      <c r="C2" s="53"/>
      <c r="D2" s="54"/>
      <c r="E2" s="53"/>
      <c r="F2" s="53"/>
      <c r="G2" s="53"/>
      <c r="H2" s="53"/>
      <c r="I2" s="53"/>
      <c r="J2" s="53"/>
    </row>
    <row r="3" spans="2:19">
      <c r="B3" s="129" t="s">
        <v>79</v>
      </c>
      <c r="C3" s="53"/>
      <c r="D3" s="54"/>
      <c r="E3" s="53"/>
      <c r="F3" s="53"/>
      <c r="G3" s="53"/>
      <c r="H3" s="53"/>
      <c r="I3" s="53"/>
      <c r="J3" s="53"/>
    </row>
    <row r="4" spans="2:19">
      <c r="B4" s="129" t="s">
        <v>810</v>
      </c>
      <c r="C4" s="53"/>
      <c r="D4" s="54"/>
      <c r="E4" s="53"/>
      <c r="F4" s="53"/>
      <c r="G4" s="53"/>
      <c r="H4" s="53"/>
      <c r="I4" s="53"/>
      <c r="J4" s="53"/>
    </row>
    <row r="5" spans="2:19">
      <c r="B5" s="53"/>
      <c r="C5" s="53"/>
      <c r="D5" s="53"/>
      <c r="F5" s="53"/>
      <c r="G5" s="53"/>
    </row>
    <row r="6" spans="2:19">
      <c r="B6" s="53"/>
      <c r="C6" s="53"/>
      <c r="D6" s="53"/>
      <c r="F6" s="53"/>
      <c r="G6" s="53"/>
    </row>
    <row r="7" spans="2:19">
      <c r="C7" s="880" t="str">
        <f>"Present "&amp;IF(Base1_Billing2=2,"Billing ","")&amp;"Rates(1)"</f>
        <v>Present Rates(1)</v>
      </c>
      <c r="D7" s="880" t="str">
        <f>"Present "&amp;IF(Base1_Billing2=2,"Billing","")&amp;" Rates"</f>
        <v>Present  Rates</v>
      </c>
      <c r="F7" s="880" t="str">
        <f>"Proposed "&amp;IF(Base1_Billing2=2,"Billing ","")&amp;"Rates(2)"</f>
        <v>Proposed Rates(2)</v>
      </c>
      <c r="G7" s="880" t="str">
        <f>"Proposed "&amp;IF(Base1_Billing2=2,"Billing ","")&amp;"Rates"</f>
        <v>Proposed Rates</v>
      </c>
      <c r="I7" s="278" t="s">
        <v>374</v>
      </c>
      <c r="J7" s="53"/>
    </row>
    <row r="8" spans="2:19">
      <c r="C8" s="34" t="s">
        <v>82</v>
      </c>
      <c r="D8" s="34" t="s">
        <v>70</v>
      </c>
      <c r="F8" s="34" t="s">
        <v>82</v>
      </c>
      <c r="G8" s="34" t="s">
        <v>70</v>
      </c>
      <c r="I8" s="53"/>
      <c r="J8" s="53"/>
      <c r="L8" s="57" t="s">
        <v>381</v>
      </c>
      <c r="N8" s="430" t="s">
        <v>70</v>
      </c>
      <c r="O8" s="399" t="s">
        <v>255</v>
      </c>
      <c r="P8" s="399" t="s">
        <v>257</v>
      </c>
      <c r="R8" s="746" t="s">
        <v>841</v>
      </c>
      <c r="S8" s="746"/>
    </row>
    <row r="9" spans="2:19">
      <c r="C9" s="55" t="s">
        <v>83</v>
      </c>
      <c r="D9" s="55" t="s">
        <v>83</v>
      </c>
      <c r="F9" s="55" t="s">
        <v>83</v>
      </c>
      <c r="G9" s="55" t="s">
        <v>83</v>
      </c>
      <c r="I9" s="55" t="s">
        <v>375</v>
      </c>
      <c r="J9" s="55" t="s">
        <v>198</v>
      </c>
      <c r="L9" s="251" t="s">
        <v>382</v>
      </c>
      <c r="N9" s="430" t="s">
        <v>473</v>
      </c>
      <c r="O9" s="399" t="s">
        <v>415</v>
      </c>
      <c r="P9" s="399" t="s">
        <v>415</v>
      </c>
      <c r="R9" s="746"/>
      <c r="S9" s="746"/>
    </row>
    <row r="10" spans="2:19">
      <c r="C10" s="55"/>
      <c r="D10" s="55"/>
      <c r="F10" s="55"/>
      <c r="G10" s="55"/>
      <c r="R10" s="746"/>
      <c r="S10" s="746"/>
    </row>
    <row r="11" spans="2:19">
      <c r="B11" t="s">
        <v>376</v>
      </c>
      <c r="C11" s="58">
        <f>'St Lts'!Y$105*IF(Base1_Billing2=2,(1+#REF!),1)</f>
        <v>0</v>
      </c>
      <c r="D11" s="48">
        <f>C11*12</f>
        <v>0</v>
      </c>
      <c r="F11" s="58">
        <f>'St Lts'!AQ$105*IF(Base1_Billing2=2,1+#REF!,1)</f>
        <v>0</v>
      </c>
      <c r="G11" s="48">
        <f t="shared" ref="G11:G17" si="0">F11*12</f>
        <v>0</v>
      </c>
      <c r="I11" s="149" t="e">
        <f>G11/D11-1</f>
        <v>#DIV/0!</v>
      </c>
      <c r="J11" s="846">
        <v>0</v>
      </c>
      <c r="L11" s="835"/>
      <c r="M11" s="281"/>
      <c r="N11" s="466">
        <f>'REVRUNS 12ME0623'!P258</f>
        <v>6396.1980000000003</v>
      </c>
      <c r="R11" s="746">
        <f>-0.02038+0.01033+0.01118+0.01478+0.00345-0.00018+0.0262</f>
        <v>4.5380000000000004E-2</v>
      </c>
      <c r="S11" s="357">
        <f>N11*R11</f>
        <v>290.25946524000005</v>
      </c>
    </row>
    <row r="12" spans="2:19">
      <c r="B12" t="s">
        <v>377</v>
      </c>
      <c r="C12" s="241">
        <f>'St Lts'!Z$105*IF(Base1_Billing2=2,1+#REF!,1)</f>
        <v>420544.77</v>
      </c>
      <c r="D12" s="242">
        <f>C12*12</f>
        <v>5046537.24</v>
      </c>
      <c r="E12" s="243"/>
      <c r="F12" s="241">
        <f>'St Lts'!AR$105*IF(Base1_Billing2=2,1+#REF!,1)</f>
        <v>466568.77</v>
      </c>
      <c r="G12" s="242">
        <f>F12*12</f>
        <v>5598825.2400000002</v>
      </c>
      <c r="I12" s="81">
        <f>G12/D12-1</f>
        <v>0.1094390021780558</v>
      </c>
      <c r="J12" s="846">
        <v>0</v>
      </c>
      <c r="L12" s="606">
        <v>0.10243146231420676</v>
      </c>
      <c r="M12" s="281"/>
      <c r="N12" s="466">
        <f>'REVRUNS 12ME0623'!P267</f>
        <v>8412382.41787</v>
      </c>
      <c r="R12" s="746">
        <f t="shared" ref="R12:R16" si="1">-0.02038+0.01033+0.01118+0.01478+0.00345-0.00018+0.0262</f>
        <v>4.5380000000000004E-2</v>
      </c>
      <c r="S12" s="357">
        <f t="shared" ref="S12:S17" si="2">N12*R12</f>
        <v>381753.91412294062</v>
      </c>
    </row>
    <row r="13" spans="2:19">
      <c r="B13" t="s">
        <v>378</v>
      </c>
      <c r="C13" s="241">
        <f>'St Lts'!AA$105*IF(Base1_Billing2=2,1+#REF!,1)</f>
        <v>2172.12</v>
      </c>
      <c r="D13" s="242">
        <f t="shared" ref="D13:D17" si="3">C13*12</f>
        <v>26065.439999999999</v>
      </c>
      <c r="E13" s="243"/>
      <c r="F13" s="241">
        <f>'St Lts'!AS$105*IF(Base1_Billing2=2,1+#REF!,1)</f>
        <v>2409.19</v>
      </c>
      <c r="G13" s="242">
        <f t="shared" si="0"/>
        <v>28910.28</v>
      </c>
      <c r="I13" s="81">
        <f t="shared" ref="I13:I17" si="4">G13/D13-1</f>
        <v>0.10914222050347133</v>
      </c>
      <c r="J13" s="846">
        <v>0</v>
      </c>
      <c r="L13" s="606">
        <v>0.10924839067575776</v>
      </c>
      <c r="M13" s="281"/>
      <c r="N13" s="466">
        <f>'REVRUNS 12ME0623'!P276</f>
        <v>146837.91700000002</v>
      </c>
      <c r="R13" s="746">
        <f t="shared" si="1"/>
        <v>4.5380000000000004E-2</v>
      </c>
      <c r="S13" s="357">
        <f t="shared" si="2"/>
        <v>6663.504673460001</v>
      </c>
    </row>
    <row r="14" spans="2:19">
      <c r="B14" t="s">
        <v>379</v>
      </c>
      <c r="C14" s="241">
        <f>'St Lts'!AB$105*IF(Base1_Billing2=2,1+#REF!,1)</f>
        <v>2952.84</v>
      </c>
      <c r="D14" s="242">
        <f t="shared" si="3"/>
        <v>35434.080000000002</v>
      </c>
      <c r="E14" s="243"/>
      <c r="F14" s="241">
        <f>'St Lts'!AT$105*IF(Base1_Billing2=2,1+#REF!,1)</f>
        <v>3275.96</v>
      </c>
      <c r="G14" s="242">
        <f t="shared" si="0"/>
        <v>39311.520000000004</v>
      </c>
      <c r="I14" s="81">
        <f t="shared" si="4"/>
        <v>0.10942685685645004</v>
      </c>
      <c r="J14" s="846">
        <v>0</v>
      </c>
      <c r="L14" s="606">
        <f>L13</f>
        <v>0.10924839067575776</v>
      </c>
      <c r="M14" s="281"/>
      <c r="N14" s="466">
        <f>'REVRUNS 12ME0623'!P285</f>
        <v>414869.80900000001</v>
      </c>
      <c r="R14" s="746">
        <f t="shared" si="1"/>
        <v>4.5380000000000004E-2</v>
      </c>
      <c r="S14" s="357">
        <f t="shared" si="2"/>
        <v>18826.791932420001</v>
      </c>
    </row>
    <row r="15" spans="2:19">
      <c r="B15" t="s">
        <v>380</v>
      </c>
      <c r="C15" s="241">
        <f>'St Lts'!AC$105*IF(Base1_Billing2=2,1+#REF!,1)</f>
        <v>8548.7999999999993</v>
      </c>
      <c r="D15" s="242">
        <f t="shared" si="3"/>
        <v>102585.59999999999</v>
      </c>
      <c r="E15" s="243"/>
      <c r="F15" s="241">
        <f>'St Lts'!AU$105*IF(Base1_Billing2=2,1+#REF!,1)</f>
        <v>9483.25</v>
      </c>
      <c r="G15" s="242">
        <f t="shared" si="0"/>
        <v>113799</v>
      </c>
      <c r="I15" s="81">
        <f t="shared" si="4"/>
        <v>0.10930773909788516</v>
      </c>
      <c r="J15" s="846">
        <v>0</v>
      </c>
      <c r="L15" s="606">
        <f>L13</f>
        <v>0.10924839067575776</v>
      </c>
      <c r="M15" s="281"/>
      <c r="N15" s="466">
        <f>'REVRUNS 12ME0623'!P294</f>
        <v>799697.37499999988</v>
      </c>
      <c r="O15" s="432">
        <f>D15/N15</f>
        <v>0.12828052611777049</v>
      </c>
      <c r="P15" s="432">
        <f>G15/N15</f>
        <v>0.14230258039799121</v>
      </c>
      <c r="R15" s="746">
        <f t="shared" si="1"/>
        <v>4.5380000000000004E-2</v>
      </c>
      <c r="S15" s="357">
        <f t="shared" si="2"/>
        <v>36290.266877499998</v>
      </c>
    </row>
    <row r="16" spans="2:19">
      <c r="B16" t="s">
        <v>384</v>
      </c>
      <c r="C16" s="241">
        <f>'Area Lts'!S55*IF(Base1_Billing2=2,1+#REF!,1)</f>
        <v>143700.91000000003</v>
      </c>
      <c r="D16" s="242">
        <f t="shared" si="3"/>
        <v>1724410.9200000004</v>
      </c>
      <c r="E16" s="243"/>
      <c r="F16" s="241">
        <f>IF(Base1_Billing2=1,'Area Lts'!AG55,'Area Lts'!AG64)</f>
        <v>159398.93</v>
      </c>
      <c r="G16" s="242">
        <f t="shared" si="0"/>
        <v>1912787.16</v>
      </c>
      <c r="I16" s="81">
        <f t="shared" si="4"/>
        <v>0.10924092269144259</v>
      </c>
      <c r="J16" s="846">
        <v>0</v>
      </c>
      <c r="L16" s="606">
        <f>L13</f>
        <v>0.10924839067575776</v>
      </c>
      <c r="M16" s="281"/>
      <c r="N16" s="466">
        <f>'REVRUNS 12ME0623'!P303</f>
        <v>4105726.0009299992</v>
      </c>
      <c r="O16" s="432"/>
      <c r="R16" s="746">
        <f t="shared" si="1"/>
        <v>4.5380000000000004E-2</v>
      </c>
      <c r="S16" s="357">
        <f t="shared" si="2"/>
        <v>186317.84592220339</v>
      </c>
    </row>
    <row r="17" spans="2:19" ht="15">
      <c r="B17" t="s">
        <v>385</v>
      </c>
      <c r="C17" s="244">
        <f>'Area Lts'!T55*IF(Base1_Billing2=2,1+#REF!,1)</f>
        <v>84277.140194999985</v>
      </c>
      <c r="D17" s="244">
        <f t="shared" si="3"/>
        <v>1011325.6823399998</v>
      </c>
      <c r="E17" s="243"/>
      <c r="F17" s="244">
        <f>IF(Base1_Billing2=1,'Area Lts'!AH55,'Area Lts'!AH64)</f>
        <v>93490.750195000001</v>
      </c>
      <c r="G17" s="244">
        <f t="shared" si="0"/>
        <v>1121889.0023400001</v>
      </c>
      <c r="I17" s="81">
        <f t="shared" si="4"/>
        <v>0.1093251382128253</v>
      </c>
      <c r="J17" s="846">
        <v>0</v>
      </c>
      <c r="L17" s="606"/>
      <c r="M17" s="281"/>
      <c r="N17" s="506">
        <f>'REVRUNS 12ME0623'!P313</f>
        <v>2143510.44001</v>
      </c>
      <c r="R17" s="746">
        <f>-0.02038+0.01033-0.00386+0.01118+0.01478+0.00345-0.00018+0.0262</f>
        <v>4.1520000000000001E-2</v>
      </c>
      <c r="S17" s="357">
        <f t="shared" si="2"/>
        <v>88998.5534692152</v>
      </c>
    </row>
    <row r="18" spans="2:19">
      <c r="I18" s="81"/>
      <c r="L18" s="339"/>
      <c r="N18" s="369"/>
      <c r="R18" s="746"/>
      <c r="S18" s="357">
        <f>SUM(S11:S17)</f>
        <v>719141.13646297914</v>
      </c>
    </row>
    <row r="19" spans="2:19" ht="15">
      <c r="B19" t="s">
        <v>64</v>
      </c>
      <c r="C19" s="245">
        <f>SUM(C11:C17)</f>
        <v>662196.58019500005</v>
      </c>
      <c r="D19" s="245">
        <f>SUM(D11:D17)</f>
        <v>7946358.962340001</v>
      </c>
      <c r="F19" s="245">
        <f>SUM(F11:F17)</f>
        <v>734626.85019500006</v>
      </c>
      <c r="G19" s="245">
        <f>SUM(G11:G17)</f>
        <v>8815522.2023399994</v>
      </c>
      <c r="I19" s="292">
        <f>G19/D19-1</f>
        <v>0.1093788040685304</v>
      </c>
      <c r="J19" s="279">
        <v>0</v>
      </c>
      <c r="L19" s="339">
        <f>L13</f>
        <v>0.10924839067575776</v>
      </c>
      <c r="N19" s="369">
        <f>SUM(N11:N18)</f>
        <v>16029420.157809999</v>
      </c>
      <c r="R19" s="746"/>
      <c r="S19" s="357"/>
    </row>
    <row r="20" spans="2:19">
      <c r="C20" s="67">
        <f>ROUND(C19-CHOOSE(Base1_Billing2,'St Lts'!AC107+'Area Lts'!T56,'St Lts'!AC113+'Area Lts'!T65+G39),0)</f>
        <v>0</v>
      </c>
      <c r="F20" s="67">
        <f>ROUND(F19-CHOOSE(Base1_Billing2,'St Lts'!AU106+'Area Lts'!AH56,'St Lts'!AU112+'Area Lts'!AH65),0)</f>
        <v>0</v>
      </c>
      <c r="L20" s="149">
        <f>I19-L19</f>
        <v>1.3041339277264363E-4</v>
      </c>
      <c r="N20" s="369"/>
      <c r="R20" s="605"/>
      <c r="S20" s="605"/>
    </row>
    <row r="21" spans="2:19" s="417" customFormat="1">
      <c r="B21" s="108" t="s">
        <v>481</v>
      </c>
      <c r="C21" s="67"/>
      <c r="D21" s="460">
        <f>D15/N15</f>
        <v>0.12828052611777049</v>
      </c>
      <c r="E21" s="456"/>
      <c r="F21" s="456"/>
      <c r="G21" s="460">
        <f>G15/N15</f>
        <v>0.14230258039799121</v>
      </c>
      <c r="L21" s="149"/>
      <c r="N21" s="430"/>
    </row>
    <row r="22" spans="2:19" s="417" customFormat="1">
      <c r="C22" s="67"/>
      <c r="F22" s="67"/>
      <c r="L22" s="149"/>
      <c r="N22" s="430"/>
    </row>
    <row r="23" spans="2:19">
      <c r="B23" s="550" t="s">
        <v>741</v>
      </c>
      <c r="C23" s="18"/>
      <c r="I23" s="283">
        <f ca="1">'Rate Spread GRC'!H31*1000</f>
        <v>8815238.4469938837</v>
      </c>
      <c r="L23" s="733"/>
    </row>
    <row r="24" spans="2:19">
      <c r="B24" s="550" t="s">
        <v>742</v>
      </c>
      <c r="C24" s="18"/>
      <c r="D24" s="18"/>
      <c r="E24" s="18"/>
      <c r="F24" s="18"/>
      <c r="G24" s="18"/>
      <c r="H24" s="18"/>
      <c r="I24" s="834">
        <f ca="1">'Rate Spread GRC'!F31</f>
        <v>0.10934309521779007</v>
      </c>
      <c r="J24" s="18"/>
      <c r="K24" s="18"/>
    </row>
    <row r="25" spans="2:19">
      <c r="C25" s="82"/>
      <c r="D25" s="246"/>
      <c r="E25" s="18"/>
      <c r="F25" s="82"/>
      <c r="G25" s="246"/>
      <c r="I25" s="18"/>
      <c r="J25" s="18"/>
      <c r="K25" s="18"/>
      <c r="L25" s="18"/>
      <c r="M25" s="18"/>
    </row>
    <row r="26" spans="2:19">
      <c r="C26" s="82"/>
      <c r="D26" s="246"/>
      <c r="E26" s="18"/>
      <c r="F26" s="82"/>
      <c r="G26" s="246"/>
      <c r="I26" s="18"/>
      <c r="J26" s="18"/>
      <c r="K26" s="18"/>
      <c r="L26" s="18"/>
      <c r="M26" s="18"/>
    </row>
    <row r="27" spans="2:19">
      <c r="C27" s="18"/>
      <c r="D27" s="18"/>
      <c r="E27" s="18"/>
      <c r="F27" s="18"/>
      <c r="G27" s="18"/>
      <c r="I27" s="18"/>
      <c r="J27" s="18"/>
      <c r="K27" s="18"/>
      <c r="L27" s="18"/>
      <c r="M27" s="18"/>
    </row>
    <row r="28" spans="2:19">
      <c r="C28" s="18" t="s">
        <v>529</v>
      </c>
      <c r="D28" s="18" t="s">
        <v>544</v>
      </c>
      <c r="E28" s="18" t="s">
        <v>530</v>
      </c>
      <c r="F28" s="18"/>
      <c r="G28" s="18" t="s">
        <v>648</v>
      </c>
      <c r="H28" s="18"/>
      <c r="J28" s="18"/>
      <c r="K28" s="18"/>
      <c r="L28" s="18"/>
      <c r="M28" s="18"/>
      <c r="N28" s="18"/>
      <c r="O28" s="430"/>
    </row>
    <row r="29" spans="2:19" hidden="1">
      <c r="B29" s="57" t="s">
        <v>338</v>
      </c>
      <c r="C29" s="290">
        <v>488916.65005000005</v>
      </c>
      <c r="D29" s="290">
        <v>488917.65005</v>
      </c>
      <c r="E29" s="290">
        <v>5866999.8006000007</v>
      </c>
      <c r="F29" s="291"/>
      <c r="G29" s="290">
        <v>556466.54005000007</v>
      </c>
      <c r="H29" s="290">
        <v>6677598.4805999994</v>
      </c>
      <c r="I29" s="18"/>
      <c r="J29" s="18"/>
      <c r="K29" s="18"/>
      <c r="L29" s="18"/>
      <c r="M29" s="18"/>
      <c r="N29"/>
      <c r="O29" s="430"/>
    </row>
    <row r="30" spans="2:19" hidden="1">
      <c r="B30" s="57" t="s">
        <v>339</v>
      </c>
      <c r="C30" s="56">
        <f>C19-C29</f>
        <v>173279.93014499999</v>
      </c>
      <c r="D30" s="56">
        <f>D19-D29</f>
        <v>7457441.3122900007</v>
      </c>
      <c r="E30" s="56">
        <f>D19-E29</f>
        <v>2079359.1617400004</v>
      </c>
      <c r="G30" s="56">
        <f>F19-G29</f>
        <v>178160.310145</v>
      </c>
      <c r="H30" s="56">
        <f>G19-H29</f>
        <v>2137923.7217399999</v>
      </c>
      <c r="N30"/>
      <c r="O30" s="430"/>
    </row>
    <row r="31" spans="2:19" hidden="1">
      <c r="B31" s="57" t="s">
        <v>340</v>
      </c>
      <c r="C31" s="81">
        <f>C30/C29</f>
        <v>0.35441609551910158</v>
      </c>
      <c r="D31" s="81">
        <f>D30/D29</f>
        <v>15.252959903426175</v>
      </c>
      <c r="E31" s="81">
        <f>E30/E29</f>
        <v>0.35441609551910169</v>
      </c>
      <c r="F31" s="81"/>
      <c r="G31" s="81">
        <f>G30/G29</f>
        <v>0.32016356298618026</v>
      </c>
      <c r="H31" s="81">
        <f>H30/H29</f>
        <v>0.32016356298618032</v>
      </c>
      <c r="N31"/>
      <c r="O31" s="430"/>
    </row>
    <row r="32" spans="2:19">
      <c r="B32" s="477" t="s">
        <v>376</v>
      </c>
      <c r="C32" s="357"/>
      <c r="D32" s="357"/>
      <c r="E32" s="357"/>
      <c r="G32" s="484">
        <f>C32+D32+F32</f>
        <v>0</v>
      </c>
      <c r="N32"/>
      <c r="O32" s="430"/>
    </row>
    <row r="33" spans="2:15">
      <c r="B33" s="477" t="s">
        <v>377</v>
      </c>
      <c r="C33" s="357"/>
      <c r="D33" s="357"/>
      <c r="G33" s="484">
        <f t="shared" ref="G33:G38" si="5">C33+D33+F33</f>
        <v>0</v>
      </c>
      <c r="N33"/>
      <c r="O33" s="430"/>
    </row>
    <row r="34" spans="2:15">
      <c r="B34" s="477" t="s">
        <v>378</v>
      </c>
      <c r="C34" s="357"/>
      <c r="D34" s="357"/>
      <c r="G34" s="484">
        <f t="shared" si="5"/>
        <v>0</v>
      </c>
      <c r="N34"/>
      <c r="O34" s="430"/>
    </row>
    <row r="35" spans="2:15">
      <c r="B35" s="477" t="s">
        <v>379</v>
      </c>
      <c r="C35" s="357"/>
      <c r="D35" s="357"/>
      <c r="G35" s="484">
        <f t="shared" si="5"/>
        <v>0</v>
      </c>
      <c r="N35"/>
      <c r="O35" s="430"/>
    </row>
    <row r="36" spans="2:15">
      <c r="B36" s="477" t="s">
        <v>380</v>
      </c>
      <c r="C36" s="357"/>
      <c r="D36" s="357"/>
      <c r="G36" s="484">
        <f t="shared" si="5"/>
        <v>0</v>
      </c>
      <c r="N36"/>
      <c r="O36" s="430"/>
    </row>
    <row r="37" spans="2:15">
      <c r="B37" s="477" t="s">
        <v>384</v>
      </c>
      <c r="C37" s="357"/>
      <c r="D37" s="357"/>
      <c r="G37" s="484">
        <f t="shared" si="5"/>
        <v>0</v>
      </c>
      <c r="N37"/>
      <c r="O37" s="430"/>
    </row>
    <row r="38" spans="2:15">
      <c r="B38" s="477" t="s">
        <v>385</v>
      </c>
      <c r="C38" s="357"/>
      <c r="D38" s="357"/>
      <c r="F38" s="357"/>
      <c r="G38" s="484">
        <f t="shared" si="5"/>
        <v>0</v>
      </c>
      <c r="N38"/>
      <c r="O38" s="430"/>
    </row>
    <row r="39" spans="2:15" ht="13.5" thickBot="1">
      <c r="B39" s="477" t="s">
        <v>64</v>
      </c>
      <c r="C39" s="478">
        <f>C32+C33+C34+C35+C36+C37+C38</f>
        <v>0</v>
      </c>
      <c r="D39" s="478">
        <f>D32+D33+D34+D35+D36+D37+D38</f>
        <v>0</v>
      </c>
      <c r="F39" s="478">
        <f>E32+E33+E34+E35+E36+E37+F38</f>
        <v>0</v>
      </c>
      <c r="G39" s="56">
        <f>C39+F39+D39</f>
        <v>0</v>
      </c>
      <c r="I39" s="56"/>
      <c r="N39"/>
      <c r="O39" s="430"/>
    </row>
    <row r="40" spans="2:15" ht="13.5" thickTop="1">
      <c r="C40" s="479"/>
      <c r="D40" s="479"/>
      <c r="F40" s="479"/>
      <c r="N40"/>
      <c r="O40" s="430"/>
    </row>
    <row r="42" spans="2:15">
      <c r="F42" t="s">
        <v>280</v>
      </c>
      <c r="G42" s="56">
        <f>+G39</f>
        <v>0</v>
      </c>
    </row>
  </sheetData>
  <mergeCells count="2">
    <mergeCell ref="C7:D7"/>
    <mergeCell ref="F7:G7"/>
  </mergeCells>
  <phoneticPr fontId="0" type="noConversion"/>
  <conditionalFormatting sqref="C20:C22 F20 F22">
    <cfRule type="expression" dxfId="23"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FX212"/>
  <sheetViews>
    <sheetView showGridLines="0" topLeftCell="J14" zoomScaleNormal="100" workbookViewId="0">
      <selection activeCell="T124" sqref="T124"/>
    </sheetView>
  </sheetViews>
  <sheetFormatPr defaultRowHeight="12.75"/>
  <cols>
    <col min="1" max="1" width="7.7109375" customWidth="1"/>
    <col min="2" max="2" width="6.7109375" style="34" customWidth="1"/>
    <col min="3" max="3" width="7.5703125" style="34" customWidth="1"/>
    <col min="4" max="4" width="10.42578125" style="34" customWidth="1"/>
    <col min="5" max="5" width="12.28515625" customWidth="1"/>
    <col min="6" max="6" width="1.7109375" customWidth="1"/>
    <col min="7" max="7" width="9.7109375" customWidth="1"/>
    <col min="8" max="8" width="47.85546875" style="447" customWidth="1"/>
    <col min="9" max="9" width="28.42578125" customWidth="1"/>
    <col min="10" max="10" width="27" bestFit="1" customWidth="1"/>
    <col min="11" max="11" width="14.42578125" style="57" bestFit="1" customWidth="1"/>
    <col min="12" max="12" width="7.5703125" customWidth="1"/>
    <col min="13" max="13" width="6.7109375" customWidth="1"/>
    <col min="14" max="14" width="7.28515625" customWidth="1"/>
    <col min="15" max="16" width="6.7109375" customWidth="1"/>
    <col min="17" max="17" width="7.28515625" customWidth="1"/>
    <col min="18" max="18" width="2.7109375" customWidth="1"/>
    <col min="19" max="19" width="7.5703125" customWidth="1"/>
    <col min="20" max="20" width="9.28515625" customWidth="1"/>
    <col min="21" max="22" width="7.5703125" customWidth="1"/>
    <col min="23" max="23" width="7.28515625" customWidth="1"/>
    <col min="24" max="24" width="2.7109375" customWidth="1"/>
    <col min="25" max="25" width="8.28515625" customWidth="1"/>
    <col min="26" max="26" width="10.7109375" bestFit="1" customWidth="1"/>
    <col min="27" max="27" width="9" bestFit="1" customWidth="1"/>
    <col min="28" max="28" width="8.28515625" customWidth="1"/>
    <col min="29" max="29" width="9.7109375" customWidth="1"/>
    <col min="30" max="30" width="10.7109375" customWidth="1"/>
    <col min="31" max="31" width="6.7109375" customWidth="1"/>
    <col min="32" max="32" width="7.28515625" customWidth="1"/>
    <col min="33" max="35" width="6.7109375" customWidth="1"/>
    <col min="36" max="36" width="2.7109375" customWidth="1"/>
    <col min="37" max="41" width="8" customWidth="1"/>
    <col min="42" max="42" width="2.7109375" customWidth="1"/>
    <col min="43" max="43" width="8.28515625" customWidth="1"/>
    <col min="44" max="44" width="9.7109375" bestFit="1" customWidth="1"/>
    <col min="45" max="46" width="8.28515625" customWidth="1"/>
    <col min="47" max="47" width="9.42578125" bestFit="1" customWidth="1"/>
    <col min="48" max="48" width="10.7109375" customWidth="1"/>
    <col min="49" max="49" width="10.7109375" style="551" customWidth="1"/>
    <col min="50" max="50" width="6.42578125" style="390" customWidth="1"/>
    <col min="56" max="56" width="9.28515625" style="390"/>
    <col min="57" max="57" width="11.5703125" bestFit="1" customWidth="1"/>
    <col min="58" max="58" width="9.28515625" customWidth="1"/>
  </cols>
  <sheetData>
    <row r="1" spans="1:123" ht="18">
      <c r="A1" s="59" t="s">
        <v>89</v>
      </c>
      <c r="I1" s="536" t="s">
        <v>710</v>
      </c>
      <c r="AJ1" s="57" t="s">
        <v>383</v>
      </c>
      <c r="AK1" s="196">
        <f>'Lighting summary'!L11</f>
        <v>0</v>
      </c>
      <c r="AL1" s="196">
        <f>'Lighting summary'!L12</f>
        <v>0.10243146231420676</v>
      </c>
      <c r="AM1" s="196">
        <f>'Lighting summary'!L13</f>
        <v>0.10924839067575776</v>
      </c>
      <c r="AN1" s="196">
        <f>'Lighting summary'!L14</f>
        <v>0.10924839067575776</v>
      </c>
      <c r="AO1" s="196">
        <f>'Lighting summary'!L15</f>
        <v>0.10924839067575776</v>
      </c>
      <c r="AY1" s="156"/>
      <c r="BE1" s="474">
        <f>-0.00789-0.00045-0.00339</f>
        <v>-1.1730000000000001E-2</v>
      </c>
      <c r="BF1" t="s">
        <v>368</v>
      </c>
      <c r="BM1" s="81">
        <f>BF2</f>
        <v>1.0150999999999999</v>
      </c>
    </row>
    <row r="2" spans="1:123" ht="15">
      <c r="A2" s="686" t="s">
        <v>805</v>
      </c>
      <c r="B2" s="680"/>
      <c r="C2" s="680"/>
      <c r="D2" s="680"/>
      <c r="M2" s="62" t="s">
        <v>344</v>
      </c>
      <c r="N2" s="63"/>
      <c r="O2" s="63"/>
      <c r="P2" s="63"/>
      <c r="Q2" s="63"/>
      <c r="S2" s="62" t="s">
        <v>80</v>
      </c>
      <c r="T2" s="63"/>
      <c r="U2" s="63"/>
      <c r="V2" s="63"/>
      <c r="W2" s="63"/>
      <c r="Y2" s="62" t="s">
        <v>91</v>
      </c>
      <c r="Z2" s="63"/>
      <c r="AA2" s="63"/>
      <c r="AB2" s="63"/>
      <c r="AC2" s="63"/>
      <c r="AE2" s="62" t="s">
        <v>90</v>
      </c>
      <c r="AF2" s="63"/>
      <c r="AG2" s="63"/>
      <c r="AH2" s="63"/>
      <c r="AI2" s="63"/>
      <c r="AK2" s="62" t="s">
        <v>81</v>
      </c>
      <c r="AL2" s="63"/>
      <c r="AM2" s="63"/>
      <c r="AN2" s="63"/>
      <c r="AO2" s="63"/>
      <c r="AQ2" s="62" t="s">
        <v>179</v>
      </c>
      <c r="AR2" s="63"/>
      <c r="AS2" s="63"/>
      <c r="AT2" s="63"/>
      <c r="AU2" s="63"/>
      <c r="AY2" s="62" t="s">
        <v>326</v>
      </c>
      <c r="AZ2" s="63"/>
      <c r="BA2" s="63"/>
      <c r="BB2" s="63"/>
      <c r="BC2" s="63"/>
      <c r="BD2" s="341"/>
      <c r="BE2" s="474">
        <v>1.3939999999999999E-2</v>
      </c>
      <c r="BF2" s="549">
        <f>1+0.0151</f>
        <v>1.0150999999999999</v>
      </c>
      <c r="BG2" t="s">
        <v>665</v>
      </c>
      <c r="BM2" t="s">
        <v>341</v>
      </c>
      <c r="BO2" s="254"/>
      <c r="BS2" s="336" t="s">
        <v>263</v>
      </c>
    </row>
    <row r="3" spans="1:123" ht="12.75" customHeight="1" thickBot="1">
      <c r="A3" s="61"/>
      <c r="I3" s="64" t="s">
        <v>92</v>
      </c>
      <c r="J3" s="64" t="s">
        <v>93</v>
      </c>
      <c r="K3" s="65" t="s">
        <v>94</v>
      </c>
      <c r="L3" s="64" t="s">
        <v>95</v>
      </c>
      <c r="M3" s="66" t="s">
        <v>96</v>
      </c>
      <c r="N3" s="66" t="s">
        <v>97</v>
      </c>
      <c r="O3" s="66" t="s">
        <v>98</v>
      </c>
      <c r="P3" s="66" t="s">
        <v>99</v>
      </c>
      <c r="Q3" s="66" t="s">
        <v>100</v>
      </c>
      <c r="S3" s="66" t="s">
        <v>96</v>
      </c>
      <c r="T3" s="66" t="s">
        <v>97</v>
      </c>
      <c r="U3" s="66" t="s">
        <v>98</v>
      </c>
      <c r="V3" s="66" t="s">
        <v>99</v>
      </c>
      <c r="W3" s="66" t="s">
        <v>100</v>
      </c>
      <c r="Y3" s="66" t="s">
        <v>96</v>
      </c>
      <c r="Z3" s="66" t="s">
        <v>97</v>
      </c>
      <c r="AA3" s="66" t="s">
        <v>98</v>
      </c>
      <c r="AB3" s="66" t="s">
        <v>99</v>
      </c>
      <c r="AC3" s="66" t="s">
        <v>100</v>
      </c>
      <c r="AE3" s="66" t="s">
        <v>96</v>
      </c>
      <c r="AF3" s="66" t="s">
        <v>97</v>
      </c>
      <c r="AG3" s="66" t="s">
        <v>98</v>
      </c>
      <c r="AH3" s="66" t="s">
        <v>99</v>
      </c>
      <c r="AI3" s="66" t="s">
        <v>100</v>
      </c>
      <c r="AK3" s="66" t="s">
        <v>96</v>
      </c>
      <c r="AL3" s="66" t="s">
        <v>97</v>
      </c>
      <c r="AM3" s="66" t="s">
        <v>98</v>
      </c>
      <c r="AN3" s="66" t="s">
        <v>99</v>
      </c>
      <c r="AO3" s="66" t="s">
        <v>100</v>
      </c>
      <c r="AQ3" s="66" t="s">
        <v>96</v>
      </c>
      <c r="AR3" s="66" t="s">
        <v>97</v>
      </c>
      <c r="AS3" s="66" t="s">
        <v>98</v>
      </c>
      <c r="AT3" s="66" t="s">
        <v>99</v>
      </c>
      <c r="AU3" s="66" t="s">
        <v>100</v>
      </c>
      <c r="AX3" s="259" t="s">
        <v>346</v>
      </c>
      <c r="AY3" s="66" t="s">
        <v>96</v>
      </c>
      <c r="AZ3" s="66" t="s">
        <v>97</v>
      </c>
      <c r="BA3" s="66" t="s">
        <v>98</v>
      </c>
      <c r="BB3" s="66" t="s">
        <v>99</v>
      </c>
      <c r="BC3" s="66" t="s">
        <v>100</v>
      </c>
      <c r="BD3" s="342"/>
      <c r="BE3" s="451" t="s">
        <v>491</v>
      </c>
      <c r="BF3" s="66" t="s">
        <v>96</v>
      </c>
      <c r="BG3" s="66" t="s">
        <v>97</v>
      </c>
      <c r="BH3" s="66" t="s">
        <v>98</v>
      </c>
      <c r="BI3" s="66" t="s">
        <v>99</v>
      </c>
      <c r="BJ3" s="66" t="s">
        <v>100</v>
      </c>
      <c r="BM3" s="66" t="s">
        <v>96</v>
      </c>
      <c r="BN3" s="66" t="s">
        <v>97</v>
      </c>
      <c r="BO3" s="66" t="s">
        <v>98</v>
      </c>
      <c r="BP3" s="66" t="s">
        <v>99</v>
      </c>
      <c r="BQ3" s="66" t="s">
        <v>100</v>
      </c>
      <c r="BS3" s="66" t="s">
        <v>96</v>
      </c>
      <c r="BT3" s="66" t="s">
        <v>97</v>
      </c>
      <c r="BU3" s="66" t="s">
        <v>98</v>
      </c>
      <c r="BV3" s="66" t="s">
        <v>99</v>
      </c>
      <c r="BW3" s="66" t="s">
        <v>100</v>
      </c>
    </row>
    <row r="4" spans="1:123" ht="12.75" customHeight="1">
      <c r="H4" s="191"/>
      <c r="I4" s="546" t="s">
        <v>409</v>
      </c>
      <c r="J4" s="546" t="s">
        <v>108</v>
      </c>
      <c r="K4" s="206" t="s">
        <v>735</v>
      </c>
      <c r="L4" s="445" t="s">
        <v>684</v>
      </c>
      <c r="M4" s="444">
        <f t="shared" ref="M4:Q13" si="0">SUMIF($G:$G,TEXT(M$3,"000")&amp;TEXT($L4,"000"),$E:$E)</f>
        <v>0</v>
      </c>
      <c r="N4" s="444">
        <f t="shared" si="0"/>
        <v>0</v>
      </c>
      <c r="O4" s="444">
        <f t="shared" si="0"/>
        <v>0</v>
      </c>
      <c r="P4" s="444">
        <f t="shared" si="0"/>
        <v>0</v>
      </c>
      <c r="Q4" s="444">
        <f t="shared" si="0"/>
        <v>2</v>
      </c>
      <c r="R4" s="444">
        <f t="shared" ref="R4" si="1">IF(SUM(M4:Q4)&gt;0,0,1)</f>
        <v>0</v>
      </c>
      <c r="S4" s="470">
        <v>0</v>
      </c>
      <c r="T4" s="470"/>
      <c r="U4" s="470">
        <v>0</v>
      </c>
      <c r="V4" s="470">
        <v>0</v>
      </c>
      <c r="W4" s="470">
        <v>0.26</v>
      </c>
      <c r="X4" s="546"/>
      <c r="Y4" s="68">
        <f t="shared" ref="Y4" si="2">IF(AND(M4&lt;&gt;0,S4=0),#VALUE!,M4*S4)</f>
        <v>0</v>
      </c>
      <c r="Z4" s="68">
        <f t="shared" ref="Z4" si="3">IF(AND(N4&lt;&gt;0,T4=0),#VALUE!,N4*T4)</f>
        <v>0</v>
      </c>
      <c r="AA4" s="68">
        <f t="shared" ref="AA4" si="4">IF(AND(O4&lt;&gt;0,U4=0),#VALUE!,O4*U4)</f>
        <v>0</v>
      </c>
      <c r="AB4" s="68">
        <f t="shared" ref="AB4" si="5">IF(AND(P4&lt;&gt;0,V4=0),#VALUE!,P4*V4)</f>
        <v>0</v>
      </c>
      <c r="AC4" s="68">
        <f t="shared" ref="AC4" si="6">IF(AND(Q4&lt;&gt;0,W4=0),#VALUE!,Q4*W4)</f>
        <v>0.52</v>
      </c>
      <c r="AD4" s="546"/>
      <c r="AE4" s="444">
        <f t="shared" ref="AE4:AI13" si="7">SUMIF($G:$G,TEXT(AE$3,"000")&amp;TEXT($L4,"000"),$E:$E)</f>
        <v>0</v>
      </c>
      <c r="AF4" s="444">
        <f t="shared" si="7"/>
        <v>0</v>
      </c>
      <c r="AG4" s="444">
        <f t="shared" si="7"/>
        <v>0</v>
      </c>
      <c r="AH4" s="444">
        <f t="shared" si="7"/>
        <v>0</v>
      </c>
      <c r="AI4" s="444">
        <f t="shared" si="7"/>
        <v>2</v>
      </c>
      <c r="AJ4" s="546"/>
      <c r="AK4" s="449">
        <f t="shared" ref="AK4:AL27" si="8">ROUND(S4*(1+AK$1),2)</f>
        <v>0</v>
      </c>
      <c r="AL4" s="449"/>
      <c r="AM4" s="449">
        <f t="shared" ref="AM4:AM27" si="9">ROUND(U4*(1+AM$1),2)</f>
        <v>0</v>
      </c>
      <c r="AN4" s="449">
        <f t="shared" ref="AN4:AN27" si="10">ROUND(V4*(1+AN$1),2)</f>
        <v>0</v>
      </c>
      <c r="AO4" s="449">
        <f>ROUND(W4*(1+AO$1),2)</f>
        <v>0.28999999999999998</v>
      </c>
      <c r="AP4" s="546"/>
      <c r="AQ4" s="68">
        <f t="shared" ref="AQ4:AQ27" si="11">IF(AND(AE4&lt;&gt;0,AK4=0),#VALUE!,AE4*AK4)</f>
        <v>0</v>
      </c>
      <c r="AR4" s="68">
        <f t="shared" ref="AR4:AR27" si="12">IF(AND(AF4&lt;&gt;0,AL4=0),#VALUE!,AF4*AL4)</f>
        <v>0</v>
      </c>
      <c r="AS4" s="68">
        <f t="shared" ref="AS4:AS27" si="13">IF(AND(AG4&lt;&gt;0,AM4=0),#VALUE!,AG4*AM4)</f>
        <v>0</v>
      </c>
      <c r="AT4" s="68">
        <f t="shared" ref="AT4:AT27" si="14">IF(AND(AH4&lt;&gt;0,AN4=0),#VALUE!,AH4*AN4)</f>
        <v>0</v>
      </c>
      <c r="AU4" s="68">
        <f t="shared" ref="AU4:AU27" si="15">IF(AND(AI4&lt;&gt;0,AO4=0),#VALUE!,AI4*AO4)</f>
        <v>0.57999999999999996</v>
      </c>
      <c r="AV4" s="546"/>
      <c r="AX4" s="454">
        <v>2</v>
      </c>
      <c r="AY4" s="446"/>
      <c r="AZ4" s="446"/>
      <c r="BA4" s="446"/>
      <c r="BB4" s="446"/>
      <c r="BC4" s="446">
        <v>0.23347299999999999</v>
      </c>
      <c r="BD4" s="446"/>
      <c r="BE4" s="452">
        <f t="shared" ref="BE4" si="16">ROUND(AX4*$BE$2,2)+ROUND(AX4*$BE$1,2)</f>
        <v>9.9999999999999985E-3</v>
      </c>
      <c r="BF4" s="442"/>
      <c r="BG4" s="442"/>
      <c r="BH4" s="442"/>
      <c r="BI4" s="442"/>
      <c r="BJ4" s="442">
        <f>ROUND((W4*$BF$2)+$BE4-BC4,2)</f>
        <v>0.04</v>
      </c>
      <c r="BK4" s="546"/>
      <c r="BL4" s="546"/>
      <c r="BM4" s="450">
        <f t="shared" ref="BM4:BM67" si="17">AK4*$BM$1</f>
        <v>0</v>
      </c>
      <c r="BN4" s="450">
        <f t="shared" ref="BN4:BN67" si="18">AL4*$BM$1</f>
        <v>0</v>
      </c>
      <c r="BO4" s="450">
        <f t="shared" ref="BO4:BO67" si="19">AM4*$BM$1</f>
        <v>0</v>
      </c>
      <c r="BP4" s="450">
        <f t="shared" ref="BP4:BP67" si="20">AN4*$BM$1</f>
        <v>0</v>
      </c>
      <c r="BQ4" s="450">
        <f>AO4*$BM$1</f>
        <v>0.29437899999999995</v>
      </c>
      <c r="BR4" s="546"/>
      <c r="BS4" s="442">
        <f>BM4-AY4</f>
        <v>0</v>
      </c>
      <c r="BT4" s="442">
        <f t="shared" ref="BT4" si="21">BN4-AZ4</f>
        <v>0</v>
      </c>
      <c r="BU4" s="442">
        <f t="shared" ref="BU4" si="22">BO4-BA4</f>
        <v>0</v>
      </c>
      <c r="BV4" s="442">
        <f t="shared" ref="BV4" si="23">BP4-BB4</f>
        <v>0</v>
      </c>
      <c r="BW4" s="442">
        <f>BQ4-BC4</f>
        <v>6.090599999999996E-2</v>
      </c>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row>
    <row r="5" spans="1:123" ht="12.75" customHeight="1">
      <c r="B5" s="677" t="s">
        <v>102</v>
      </c>
      <c r="C5" s="677" t="s">
        <v>95</v>
      </c>
      <c r="D5" s="677" t="s">
        <v>103</v>
      </c>
      <c r="E5" s="678" t="s">
        <v>104</v>
      </c>
      <c r="F5" s="679"/>
      <c r="G5" s="679"/>
      <c r="H5" s="191"/>
      <c r="I5" s="546" t="s">
        <v>409</v>
      </c>
      <c r="J5" s="546" t="s">
        <v>108</v>
      </c>
      <c r="K5" s="206" t="s">
        <v>735</v>
      </c>
      <c r="L5" s="445" t="s">
        <v>685</v>
      </c>
      <c r="M5" s="444">
        <f t="shared" si="0"/>
        <v>0</v>
      </c>
      <c r="N5" s="444">
        <f t="shared" si="0"/>
        <v>0</v>
      </c>
      <c r="O5" s="444">
        <f t="shared" si="0"/>
        <v>0</v>
      </c>
      <c r="P5" s="444">
        <f t="shared" si="0"/>
        <v>0</v>
      </c>
      <c r="Q5" s="444">
        <f t="shared" si="0"/>
        <v>42</v>
      </c>
      <c r="R5" s="444">
        <f t="shared" ref="R5:R25" si="24">IF(SUM(M5:Q5)&gt;0,0,1)</f>
        <v>0</v>
      </c>
      <c r="S5" s="470">
        <v>0</v>
      </c>
      <c r="T5" s="470"/>
      <c r="U5" s="470">
        <v>0</v>
      </c>
      <c r="V5" s="470">
        <v>0</v>
      </c>
      <c r="W5" s="470">
        <v>0.61</v>
      </c>
      <c r="X5" s="546"/>
      <c r="Y5" s="68">
        <f t="shared" ref="Y5:Y25" si="25">IF(AND(M5&lt;&gt;0,S5=0),#VALUE!,M5*S5)</f>
        <v>0</v>
      </c>
      <c r="Z5" s="68">
        <f t="shared" ref="Z5:Z25" si="26">IF(AND(N5&lt;&gt;0,T5=0),#VALUE!,N5*T5)</f>
        <v>0</v>
      </c>
      <c r="AA5" s="68">
        <f t="shared" ref="AA5:AA24" si="27">IF(AND(O5&lt;&gt;0,U5=0),#VALUE!,O5*U5)</f>
        <v>0</v>
      </c>
      <c r="AB5" s="68">
        <f t="shared" ref="AB5:AB25" si="28">IF(AND(P5&lt;&gt;0,V5=0),#VALUE!,P5*V5)</f>
        <v>0</v>
      </c>
      <c r="AC5" s="68">
        <f>IF(AND(Q5&lt;&gt;0,W5=0),#VALUE!,Q5*W5)</f>
        <v>25.62</v>
      </c>
      <c r="AD5" s="546"/>
      <c r="AE5" s="444">
        <f t="shared" si="7"/>
        <v>0</v>
      </c>
      <c r="AF5" s="444">
        <f t="shared" si="7"/>
        <v>0</v>
      </c>
      <c r="AG5" s="444">
        <f t="shared" si="7"/>
        <v>0</v>
      </c>
      <c r="AH5" s="444">
        <f t="shared" si="7"/>
        <v>0</v>
      </c>
      <c r="AI5" s="444">
        <f t="shared" si="7"/>
        <v>42</v>
      </c>
      <c r="AJ5" s="546"/>
      <c r="AK5" s="449">
        <f t="shared" ref="AK5:AK25" si="29">ROUND(S5*(1+AK$1),2)</f>
        <v>0</v>
      </c>
      <c r="AL5" s="449"/>
      <c r="AM5" s="449">
        <f t="shared" ref="AM5:AM25" si="30">ROUND(U5*(1+AM$1),2)</f>
        <v>0</v>
      </c>
      <c r="AN5" s="449">
        <f t="shared" ref="AN5:AN25" si="31">ROUND(V5*(1+AN$1),2)</f>
        <v>0</v>
      </c>
      <c r="AO5" s="449">
        <f t="shared" ref="AO5:AO24" si="32">ROUND(W5*(1+AO$1),2)</f>
        <v>0.68</v>
      </c>
      <c r="AP5" s="546"/>
      <c r="AQ5" s="68">
        <f t="shared" ref="AQ5:AQ25" si="33">IF(AND(AE5&lt;&gt;0,AK5=0),#VALUE!,AE5*AK5)</f>
        <v>0</v>
      </c>
      <c r="AR5" s="68">
        <f>IF(AND(AF5&lt;&gt;0,AL5=0),#VALUE!,AF5*AL5)</f>
        <v>0</v>
      </c>
      <c r="AS5" s="68">
        <f t="shared" ref="AS5:AS25" si="34">IF(AND(AG5&lt;&gt;0,AM5=0),#VALUE!,AG5*AM5)</f>
        <v>0</v>
      </c>
      <c r="AT5" s="68">
        <f t="shared" ref="AT5:AT25" si="35">IF(AND(AH5&lt;&gt;0,AN5=0),#VALUE!,AH5*AN5)</f>
        <v>0</v>
      </c>
      <c r="AU5" s="68">
        <f>IF(AND(AI5&lt;&gt;0,AO5=0),#VALUE!,AI5*AO5)</f>
        <v>28.560000000000002</v>
      </c>
      <c r="AV5" s="546"/>
      <c r="AX5" s="454">
        <v>5</v>
      </c>
      <c r="AY5" s="446"/>
      <c r="AZ5" s="446"/>
      <c r="BA5" s="446"/>
      <c r="BB5" s="446"/>
      <c r="BC5" s="446">
        <v>0.56845599999999996</v>
      </c>
      <c r="BD5" s="446"/>
      <c r="BE5" s="452">
        <f t="shared" ref="BE5:BE25" si="36">ROUND(AX5*$BE$2,2)+ROUND(AX5*$BE$1,2)</f>
        <v>1.0000000000000009E-2</v>
      </c>
      <c r="BF5" s="442"/>
      <c r="BG5" s="442"/>
      <c r="BH5" s="442"/>
      <c r="BI5" s="442"/>
      <c r="BJ5" s="442">
        <f t="shared" ref="BJ5:BJ25" si="37">ROUND((W5*$BF$2)+$BE5-BC5,2)</f>
        <v>0.06</v>
      </c>
      <c r="BK5" s="546"/>
      <c r="BL5" s="546"/>
      <c r="BM5" s="450">
        <f t="shared" si="17"/>
        <v>0</v>
      </c>
      <c r="BN5" s="450">
        <f t="shared" si="18"/>
        <v>0</v>
      </c>
      <c r="BO5" s="450">
        <f t="shared" si="19"/>
        <v>0</v>
      </c>
      <c r="BP5" s="450">
        <f t="shared" si="20"/>
        <v>0</v>
      </c>
      <c r="BQ5" s="450">
        <f t="shared" ref="BQ5:BQ68" si="38">AO5*$BM$1</f>
        <v>0.69026799999999999</v>
      </c>
      <c r="BR5" s="546"/>
      <c r="BS5" s="442">
        <f t="shared" ref="BS5:BS25" si="39">BM5-AY5</f>
        <v>0</v>
      </c>
      <c r="BT5" s="442">
        <f t="shared" ref="BT5:BT25" si="40">BN5-AZ5</f>
        <v>0</v>
      </c>
      <c r="BU5" s="442">
        <f t="shared" ref="BU5:BU25" si="41">BO5-BA5</f>
        <v>0</v>
      </c>
      <c r="BV5" s="442">
        <f t="shared" ref="BV5:BV25" si="42">BP5-BB5</f>
        <v>0</v>
      </c>
      <c r="BW5" s="442">
        <f t="shared" ref="BW5:BW25" si="43">BQ5-BC5</f>
        <v>0.12181200000000003</v>
      </c>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row>
    <row r="6" spans="1:123" ht="12.75" customHeight="1">
      <c r="B6" s="680"/>
      <c r="C6" s="680"/>
      <c r="D6" s="680"/>
      <c r="E6" s="647"/>
      <c r="F6" s="647"/>
      <c r="G6" s="647"/>
      <c r="I6" s="546" t="s">
        <v>409</v>
      </c>
      <c r="J6" s="546" t="s">
        <v>108</v>
      </c>
      <c r="K6" s="206" t="s">
        <v>735</v>
      </c>
      <c r="L6" s="445" t="s">
        <v>686</v>
      </c>
      <c r="M6" s="444">
        <f t="shared" si="0"/>
        <v>0</v>
      </c>
      <c r="N6" s="444">
        <f t="shared" si="0"/>
        <v>0</v>
      </c>
      <c r="O6" s="444">
        <f t="shared" si="0"/>
        <v>0</v>
      </c>
      <c r="P6" s="444">
        <f t="shared" si="0"/>
        <v>0</v>
      </c>
      <c r="Q6" s="444">
        <f t="shared" si="0"/>
        <v>45</v>
      </c>
      <c r="R6" s="444">
        <f t="shared" si="24"/>
        <v>0</v>
      </c>
      <c r="S6" s="470">
        <v>0</v>
      </c>
      <c r="T6" s="470"/>
      <c r="U6" s="470">
        <v>0</v>
      </c>
      <c r="V6" s="470">
        <v>0</v>
      </c>
      <c r="W6" s="470">
        <v>1.1200000000000001</v>
      </c>
      <c r="X6" s="546"/>
      <c r="Y6" s="68">
        <f t="shared" si="25"/>
        <v>0</v>
      </c>
      <c r="Z6" s="68">
        <f t="shared" si="26"/>
        <v>0</v>
      </c>
      <c r="AA6" s="68">
        <f t="shared" si="27"/>
        <v>0</v>
      </c>
      <c r="AB6" s="68">
        <f t="shared" si="28"/>
        <v>0</v>
      </c>
      <c r="AC6" s="68">
        <f t="shared" ref="AC6:AC24" si="44">IF(AND(Q6&lt;&gt;0,W6=0),#VALUE!,Q6*W6)</f>
        <v>50.400000000000006</v>
      </c>
      <c r="AD6" s="546"/>
      <c r="AE6" s="444">
        <f t="shared" si="7"/>
        <v>0</v>
      </c>
      <c r="AF6" s="444">
        <f t="shared" si="7"/>
        <v>0</v>
      </c>
      <c r="AG6" s="444">
        <f t="shared" si="7"/>
        <v>0</v>
      </c>
      <c r="AH6" s="444">
        <f t="shared" si="7"/>
        <v>0</v>
      </c>
      <c r="AI6" s="444">
        <f t="shared" si="7"/>
        <v>45</v>
      </c>
      <c r="AJ6" s="546"/>
      <c r="AK6" s="449">
        <f t="shared" si="29"/>
        <v>0</v>
      </c>
      <c r="AL6" s="449"/>
      <c r="AM6" s="449">
        <f t="shared" si="30"/>
        <v>0</v>
      </c>
      <c r="AN6" s="449">
        <f t="shared" si="31"/>
        <v>0</v>
      </c>
      <c r="AO6" s="449">
        <f t="shared" si="32"/>
        <v>1.24</v>
      </c>
      <c r="AP6" s="546"/>
      <c r="AQ6" s="68">
        <f t="shared" si="33"/>
        <v>0</v>
      </c>
      <c r="AR6" s="68">
        <f t="shared" ref="AR6:AR25" si="45">IF(AND(AF6&lt;&gt;0,AL6=0),#VALUE!,AF6*AL6)</f>
        <v>0</v>
      </c>
      <c r="AS6" s="68">
        <f t="shared" si="34"/>
        <v>0</v>
      </c>
      <c r="AT6" s="68">
        <f t="shared" si="35"/>
        <v>0</v>
      </c>
      <c r="AU6" s="68">
        <f t="shared" ref="AU6:AU24" si="46">IF(AND(AI6&lt;&gt;0,AO6=0),#VALUE!,AI6*AO6)</f>
        <v>55.8</v>
      </c>
      <c r="AV6" s="546"/>
      <c r="AX6" s="454">
        <v>9</v>
      </c>
      <c r="AY6" s="446"/>
      <c r="AZ6" s="446"/>
      <c r="BA6" s="446"/>
      <c r="BB6" s="446"/>
      <c r="BC6" s="446">
        <v>1.0252509999999999</v>
      </c>
      <c r="BD6" s="446"/>
      <c r="BE6" s="452">
        <f t="shared" si="36"/>
        <v>2.0000000000000004E-2</v>
      </c>
      <c r="BF6" s="442"/>
      <c r="BG6" s="442"/>
      <c r="BH6" s="442"/>
      <c r="BI6" s="442"/>
      <c r="BJ6" s="442">
        <f>ROUND((W6*$BF$2)+$BE6-BC6,2)</f>
        <v>0.13</v>
      </c>
      <c r="BK6" s="546"/>
      <c r="BL6" s="546"/>
      <c r="BM6" s="450">
        <f t="shared" si="17"/>
        <v>0</v>
      </c>
      <c r="BN6" s="450">
        <f t="shared" si="18"/>
        <v>0</v>
      </c>
      <c r="BO6" s="450">
        <f t="shared" si="19"/>
        <v>0</v>
      </c>
      <c r="BP6" s="450">
        <f t="shared" si="20"/>
        <v>0</v>
      </c>
      <c r="BQ6" s="450">
        <f t="shared" si="38"/>
        <v>1.258724</v>
      </c>
      <c r="BR6" s="546"/>
      <c r="BS6" s="442">
        <f t="shared" si="39"/>
        <v>0</v>
      </c>
      <c r="BT6" s="442">
        <f t="shared" si="40"/>
        <v>0</v>
      </c>
      <c r="BU6" s="442">
        <f t="shared" si="41"/>
        <v>0</v>
      </c>
      <c r="BV6" s="442">
        <f t="shared" si="42"/>
        <v>0</v>
      </c>
      <c r="BW6" s="442">
        <f t="shared" si="43"/>
        <v>0.23347300000000004</v>
      </c>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row>
    <row r="7" spans="1:123" ht="12.75" customHeight="1">
      <c r="B7" s="680">
        <v>2</v>
      </c>
      <c r="C7" s="681" t="s">
        <v>96</v>
      </c>
      <c r="D7" s="680">
        <v>214</v>
      </c>
      <c r="E7" s="682">
        <v>0</v>
      </c>
      <c r="F7" s="683"/>
      <c r="G7" s="683" t="str">
        <f>IF(OR(ISBLANK(C7),ISBLANK(D7)),"",TEXT(C7,"000")&amp;TEXT(D7,"000"))</f>
        <v>041214</v>
      </c>
      <c r="H7" s="45"/>
      <c r="I7" s="546" t="s">
        <v>409</v>
      </c>
      <c r="J7" s="546" t="s">
        <v>108</v>
      </c>
      <c r="K7" s="206" t="s">
        <v>735</v>
      </c>
      <c r="L7" s="445" t="s">
        <v>687</v>
      </c>
      <c r="M7" s="444">
        <f t="shared" si="0"/>
        <v>0</v>
      </c>
      <c r="N7" s="444">
        <f t="shared" si="0"/>
        <v>0</v>
      </c>
      <c r="O7" s="444">
        <f t="shared" si="0"/>
        <v>0</v>
      </c>
      <c r="P7" s="444">
        <f t="shared" si="0"/>
        <v>0</v>
      </c>
      <c r="Q7" s="444">
        <f t="shared" si="0"/>
        <v>0</v>
      </c>
      <c r="R7" s="444">
        <f>IF(SUM(M7:Q7)&gt;0,0,1)</f>
        <v>1</v>
      </c>
      <c r="S7" s="470">
        <v>0</v>
      </c>
      <c r="T7" s="470"/>
      <c r="U7" s="470">
        <v>0</v>
      </c>
      <c r="V7" s="470">
        <v>0</v>
      </c>
      <c r="W7" s="470">
        <v>1.6</v>
      </c>
      <c r="X7" s="546"/>
      <c r="Y7" s="68">
        <f t="shared" si="25"/>
        <v>0</v>
      </c>
      <c r="Z7" s="68">
        <f t="shared" si="26"/>
        <v>0</v>
      </c>
      <c r="AA7" s="68">
        <f t="shared" si="27"/>
        <v>0</v>
      </c>
      <c r="AB7" s="68">
        <f t="shared" si="28"/>
        <v>0</v>
      </c>
      <c r="AC7" s="68">
        <f t="shared" si="44"/>
        <v>0</v>
      </c>
      <c r="AD7" s="546"/>
      <c r="AE7" s="444">
        <f t="shared" si="7"/>
        <v>0</v>
      </c>
      <c r="AF7" s="444">
        <f t="shared" si="7"/>
        <v>0</v>
      </c>
      <c r="AG7" s="444">
        <f t="shared" si="7"/>
        <v>0</v>
      </c>
      <c r="AH7" s="444">
        <f t="shared" si="7"/>
        <v>0</v>
      </c>
      <c r="AI7" s="444">
        <f t="shared" si="7"/>
        <v>0</v>
      </c>
      <c r="AJ7" s="546"/>
      <c r="AK7" s="449">
        <f t="shared" si="29"/>
        <v>0</v>
      </c>
      <c r="AL7" s="449"/>
      <c r="AM7" s="449">
        <f t="shared" si="30"/>
        <v>0</v>
      </c>
      <c r="AN7" s="449">
        <f t="shared" si="31"/>
        <v>0</v>
      </c>
      <c r="AO7" s="449">
        <f t="shared" si="32"/>
        <v>1.77</v>
      </c>
      <c r="AP7" s="546"/>
      <c r="AQ7" s="68">
        <f t="shared" si="33"/>
        <v>0</v>
      </c>
      <c r="AR7" s="68">
        <f t="shared" si="45"/>
        <v>0</v>
      </c>
      <c r="AS7" s="68">
        <f t="shared" si="34"/>
        <v>0</v>
      </c>
      <c r="AT7" s="68">
        <f t="shared" si="35"/>
        <v>0</v>
      </c>
      <c r="AU7" s="68">
        <f t="shared" si="46"/>
        <v>0</v>
      </c>
      <c r="AV7" s="546"/>
      <c r="AX7" s="454">
        <v>13</v>
      </c>
      <c r="AY7" s="446"/>
      <c r="AZ7" s="446"/>
      <c r="BA7" s="446"/>
      <c r="BB7" s="446"/>
      <c r="BC7" s="446">
        <v>1.4820459999999998</v>
      </c>
      <c r="BD7" s="446"/>
      <c r="BE7" s="452">
        <f t="shared" si="36"/>
        <v>0.03</v>
      </c>
      <c r="BF7" s="442"/>
      <c r="BG7" s="442"/>
      <c r="BH7" s="442"/>
      <c r="BI7" s="442"/>
      <c r="BJ7" s="442">
        <f t="shared" si="37"/>
        <v>0.17</v>
      </c>
      <c r="BK7" s="546"/>
      <c r="BL7" s="546"/>
      <c r="BM7" s="450">
        <f t="shared" si="17"/>
        <v>0</v>
      </c>
      <c r="BN7" s="450">
        <f t="shared" si="18"/>
        <v>0</v>
      </c>
      <c r="BO7" s="450">
        <f t="shared" si="19"/>
        <v>0</v>
      </c>
      <c r="BP7" s="450">
        <f t="shared" si="20"/>
        <v>0</v>
      </c>
      <c r="BQ7" s="450">
        <f t="shared" si="38"/>
        <v>1.7967269999999997</v>
      </c>
      <c r="BR7" s="546"/>
      <c r="BS7" s="442">
        <f t="shared" si="39"/>
        <v>0</v>
      </c>
      <c r="BT7" s="442">
        <f t="shared" si="40"/>
        <v>0</v>
      </c>
      <c r="BU7" s="442">
        <f t="shared" si="41"/>
        <v>0</v>
      </c>
      <c r="BV7" s="442">
        <f t="shared" si="42"/>
        <v>0</v>
      </c>
      <c r="BW7" s="442">
        <f t="shared" si="43"/>
        <v>0.31468099999999999</v>
      </c>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row>
    <row r="8" spans="1:123" ht="12.75" customHeight="1">
      <c r="B8" s="680">
        <v>2</v>
      </c>
      <c r="C8" s="681" t="s">
        <v>96</v>
      </c>
      <c r="D8" s="680">
        <v>411</v>
      </c>
      <c r="E8" s="682">
        <v>0</v>
      </c>
      <c r="F8" s="683"/>
      <c r="G8" s="683" t="str">
        <f>IF(OR(ISBLANK(C8),ISBLANK(D8)),"",TEXT(C8,"000")&amp;TEXT(D8,"000"))</f>
        <v>041411</v>
      </c>
      <c r="H8" s="45"/>
      <c r="I8" s="546" t="s">
        <v>409</v>
      </c>
      <c r="J8" s="546" t="s">
        <v>108</v>
      </c>
      <c r="K8" s="206" t="s">
        <v>735</v>
      </c>
      <c r="L8" s="445" t="s">
        <v>688</v>
      </c>
      <c r="M8" s="444">
        <f t="shared" si="0"/>
        <v>0</v>
      </c>
      <c r="N8" s="444">
        <f t="shared" si="0"/>
        <v>0</v>
      </c>
      <c r="O8" s="444">
        <f t="shared" si="0"/>
        <v>0</v>
      </c>
      <c r="P8" s="444">
        <f t="shared" si="0"/>
        <v>0</v>
      </c>
      <c r="Q8" s="444">
        <f t="shared" si="0"/>
        <v>0</v>
      </c>
      <c r="R8" s="444">
        <f t="shared" si="24"/>
        <v>1</v>
      </c>
      <c r="S8" s="470">
        <v>0</v>
      </c>
      <c r="T8" s="470"/>
      <c r="U8" s="470">
        <v>0</v>
      </c>
      <c r="V8" s="470">
        <v>0</v>
      </c>
      <c r="W8" s="470">
        <v>1.98</v>
      </c>
      <c r="X8" s="546"/>
      <c r="Y8" s="68">
        <f t="shared" si="25"/>
        <v>0</v>
      </c>
      <c r="Z8" s="68">
        <f t="shared" si="26"/>
        <v>0</v>
      </c>
      <c r="AA8" s="68">
        <f t="shared" si="27"/>
        <v>0</v>
      </c>
      <c r="AB8" s="68">
        <f t="shared" si="28"/>
        <v>0</v>
      </c>
      <c r="AC8" s="68">
        <f t="shared" si="44"/>
        <v>0</v>
      </c>
      <c r="AD8" s="546"/>
      <c r="AE8" s="444">
        <f t="shared" si="7"/>
        <v>0</v>
      </c>
      <c r="AF8" s="444">
        <f t="shared" si="7"/>
        <v>0</v>
      </c>
      <c r="AG8" s="444">
        <f t="shared" si="7"/>
        <v>0</v>
      </c>
      <c r="AH8" s="444">
        <f t="shared" si="7"/>
        <v>0</v>
      </c>
      <c r="AI8" s="444">
        <f t="shared" si="7"/>
        <v>0</v>
      </c>
      <c r="AJ8" s="546"/>
      <c r="AK8" s="449">
        <f t="shared" si="29"/>
        <v>0</v>
      </c>
      <c r="AL8" s="449"/>
      <c r="AM8" s="449">
        <f t="shared" si="30"/>
        <v>0</v>
      </c>
      <c r="AN8" s="449">
        <f t="shared" si="31"/>
        <v>0</v>
      </c>
      <c r="AO8" s="449">
        <f t="shared" si="32"/>
        <v>2.2000000000000002</v>
      </c>
      <c r="AP8" s="546"/>
      <c r="AQ8" s="68">
        <f t="shared" si="33"/>
        <v>0</v>
      </c>
      <c r="AR8" s="68">
        <f t="shared" si="45"/>
        <v>0</v>
      </c>
      <c r="AS8" s="68">
        <f t="shared" si="34"/>
        <v>0</v>
      </c>
      <c r="AT8" s="68">
        <f t="shared" si="35"/>
        <v>0</v>
      </c>
      <c r="AU8" s="68">
        <f t="shared" si="46"/>
        <v>0</v>
      </c>
      <c r="AV8" s="546"/>
      <c r="AX8" s="454">
        <v>16</v>
      </c>
      <c r="AY8" s="446"/>
      <c r="AZ8" s="446"/>
      <c r="BA8" s="446"/>
      <c r="BB8" s="446"/>
      <c r="BC8" s="446">
        <v>1.8271799999999998</v>
      </c>
      <c r="BD8" s="446"/>
      <c r="BE8" s="452">
        <f t="shared" si="36"/>
        <v>0.03</v>
      </c>
      <c r="BF8" s="442"/>
      <c r="BG8" s="442"/>
      <c r="BH8" s="442"/>
      <c r="BI8" s="442"/>
      <c r="BJ8" s="442">
        <f t="shared" si="37"/>
        <v>0.21</v>
      </c>
      <c r="BK8" s="546"/>
      <c r="BL8" s="546"/>
      <c r="BM8" s="450">
        <f t="shared" si="17"/>
        <v>0</v>
      </c>
      <c r="BN8" s="450">
        <f t="shared" si="18"/>
        <v>0</v>
      </c>
      <c r="BO8" s="450">
        <f t="shared" si="19"/>
        <v>0</v>
      </c>
      <c r="BP8" s="450">
        <f t="shared" si="20"/>
        <v>0</v>
      </c>
      <c r="BQ8" s="450">
        <f t="shared" si="38"/>
        <v>2.2332199999999998</v>
      </c>
      <c r="BR8" s="546"/>
      <c r="BS8" s="442">
        <f t="shared" si="39"/>
        <v>0</v>
      </c>
      <c r="BT8" s="442">
        <f t="shared" si="40"/>
        <v>0</v>
      </c>
      <c r="BU8" s="442">
        <f t="shared" si="41"/>
        <v>0</v>
      </c>
      <c r="BV8" s="442">
        <f t="shared" si="42"/>
        <v>0</v>
      </c>
      <c r="BW8" s="442">
        <f t="shared" si="43"/>
        <v>0.40603999999999996</v>
      </c>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row>
    <row r="9" spans="1:123">
      <c r="B9" s="680">
        <v>2</v>
      </c>
      <c r="C9" s="681" t="s">
        <v>96</v>
      </c>
      <c r="D9" s="680">
        <v>511</v>
      </c>
      <c r="E9" s="682">
        <v>0</v>
      </c>
      <c r="F9" s="683"/>
      <c r="G9" s="683" t="str">
        <f>IF(OR(ISBLANK(C9),ISBLANK(D9)),"",TEXT(C9,"000")&amp;TEXT(D9,"000"))</f>
        <v>041511</v>
      </c>
      <c r="H9" s="45"/>
      <c r="I9" s="546" t="s">
        <v>409</v>
      </c>
      <c r="J9" s="546" t="s">
        <v>108</v>
      </c>
      <c r="K9" s="206" t="s">
        <v>735</v>
      </c>
      <c r="L9" s="445" t="s">
        <v>689</v>
      </c>
      <c r="M9" s="444">
        <f t="shared" si="0"/>
        <v>0</v>
      </c>
      <c r="N9" s="444">
        <f t="shared" si="0"/>
        <v>0</v>
      </c>
      <c r="O9" s="444">
        <f t="shared" si="0"/>
        <v>0</v>
      </c>
      <c r="P9" s="444">
        <f t="shared" si="0"/>
        <v>0</v>
      </c>
      <c r="Q9" s="444">
        <f t="shared" si="0"/>
        <v>0</v>
      </c>
      <c r="R9" s="444">
        <f t="shared" si="24"/>
        <v>1</v>
      </c>
      <c r="S9" s="470">
        <v>0</v>
      </c>
      <c r="T9" s="470"/>
      <c r="U9" s="470">
        <v>0</v>
      </c>
      <c r="V9" s="470">
        <v>0</v>
      </c>
      <c r="W9" s="470">
        <v>2.4700000000000002</v>
      </c>
      <c r="X9" s="546"/>
      <c r="Y9" s="68">
        <f t="shared" si="25"/>
        <v>0</v>
      </c>
      <c r="Z9" s="68">
        <f t="shared" si="26"/>
        <v>0</v>
      </c>
      <c r="AA9" s="68">
        <f t="shared" si="27"/>
        <v>0</v>
      </c>
      <c r="AB9" s="68">
        <f t="shared" si="28"/>
        <v>0</v>
      </c>
      <c r="AC9" s="68">
        <f t="shared" si="44"/>
        <v>0</v>
      </c>
      <c r="AD9" s="546"/>
      <c r="AE9" s="444">
        <f t="shared" si="7"/>
        <v>0</v>
      </c>
      <c r="AF9" s="444">
        <f t="shared" si="7"/>
        <v>0</v>
      </c>
      <c r="AG9" s="444">
        <f t="shared" si="7"/>
        <v>0</v>
      </c>
      <c r="AH9" s="444">
        <f t="shared" si="7"/>
        <v>0</v>
      </c>
      <c r="AI9" s="444">
        <f t="shared" si="7"/>
        <v>0</v>
      </c>
      <c r="AJ9" s="546"/>
      <c r="AK9" s="449">
        <f t="shared" si="29"/>
        <v>0</v>
      </c>
      <c r="AL9" s="449"/>
      <c r="AM9" s="449">
        <f t="shared" si="30"/>
        <v>0</v>
      </c>
      <c r="AN9" s="449">
        <f t="shared" si="31"/>
        <v>0</v>
      </c>
      <c r="AO9" s="449">
        <f t="shared" si="32"/>
        <v>2.74</v>
      </c>
      <c r="AP9" s="546"/>
      <c r="AQ9" s="68">
        <f t="shared" si="33"/>
        <v>0</v>
      </c>
      <c r="AR9" s="68">
        <f t="shared" si="45"/>
        <v>0</v>
      </c>
      <c r="AS9" s="68">
        <f t="shared" si="34"/>
        <v>0</v>
      </c>
      <c r="AT9" s="68">
        <f t="shared" si="35"/>
        <v>0</v>
      </c>
      <c r="AU9" s="68">
        <f t="shared" si="46"/>
        <v>0</v>
      </c>
      <c r="AV9" s="546"/>
      <c r="AX9" s="454">
        <v>20</v>
      </c>
      <c r="AY9" s="446"/>
      <c r="AZ9" s="446"/>
      <c r="BA9" s="446"/>
      <c r="BB9" s="446"/>
      <c r="BC9" s="446">
        <v>2.2738239999999998</v>
      </c>
      <c r="BD9" s="446"/>
      <c r="BE9" s="452">
        <f t="shared" si="36"/>
        <v>5.0000000000000017E-2</v>
      </c>
      <c r="BF9" s="442"/>
      <c r="BG9" s="442"/>
      <c r="BH9" s="442"/>
      <c r="BI9" s="442"/>
      <c r="BJ9" s="442">
        <f t="shared" si="37"/>
        <v>0.28000000000000003</v>
      </c>
      <c r="BK9" s="546"/>
      <c r="BL9" s="546"/>
      <c r="BM9" s="450">
        <f t="shared" si="17"/>
        <v>0</v>
      </c>
      <c r="BN9" s="450">
        <f t="shared" si="18"/>
        <v>0</v>
      </c>
      <c r="BO9" s="450">
        <f t="shared" si="19"/>
        <v>0</v>
      </c>
      <c r="BP9" s="450">
        <f t="shared" si="20"/>
        <v>0</v>
      </c>
      <c r="BQ9" s="450">
        <f t="shared" si="38"/>
        <v>2.781374</v>
      </c>
      <c r="BR9" s="546"/>
      <c r="BS9" s="442">
        <f t="shared" si="39"/>
        <v>0</v>
      </c>
      <c r="BT9" s="442">
        <f t="shared" si="40"/>
        <v>0</v>
      </c>
      <c r="BU9" s="442">
        <f t="shared" si="41"/>
        <v>0</v>
      </c>
      <c r="BV9" s="442">
        <f t="shared" si="42"/>
        <v>0</v>
      </c>
      <c r="BW9" s="442">
        <f t="shared" si="43"/>
        <v>0.50755000000000017</v>
      </c>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row>
    <row r="10" spans="1:123">
      <c r="B10" s="680">
        <v>2</v>
      </c>
      <c r="C10" s="681" t="s">
        <v>96</v>
      </c>
      <c r="D10" s="680">
        <v>611</v>
      </c>
      <c r="E10" s="682">
        <v>0</v>
      </c>
      <c r="F10" s="683"/>
      <c r="G10" s="683" t="str">
        <f>IF(OR(ISBLANK(C10),ISBLANK(D10)),"",TEXT(C10,"000")&amp;TEXT(D10,"000"))</f>
        <v>041611</v>
      </c>
      <c r="H10" s="45"/>
      <c r="I10" s="546" t="s">
        <v>409</v>
      </c>
      <c r="J10" s="546" t="s">
        <v>108</v>
      </c>
      <c r="K10" s="206" t="s">
        <v>735</v>
      </c>
      <c r="L10" s="445" t="s">
        <v>690</v>
      </c>
      <c r="M10" s="444">
        <f t="shared" si="0"/>
        <v>0</v>
      </c>
      <c r="N10" s="444">
        <f t="shared" si="0"/>
        <v>0</v>
      </c>
      <c r="O10" s="444">
        <f t="shared" si="0"/>
        <v>0</v>
      </c>
      <c r="P10" s="444">
        <f t="shared" si="0"/>
        <v>0</v>
      </c>
      <c r="Q10" s="444">
        <f t="shared" si="0"/>
        <v>3</v>
      </c>
      <c r="R10" s="444">
        <f t="shared" si="24"/>
        <v>0</v>
      </c>
      <c r="S10" s="470">
        <v>0</v>
      </c>
      <c r="T10" s="470"/>
      <c r="U10" s="470">
        <v>0</v>
      </c>
      <c r="V10" s="470">
        <v>0</v>
      </c>
      <c r="W10" s="470">
        <v>2.85</v>
      </c>
      <c r="X10" s="546"/>
      <c r="Y10" s="68">
        <f t="shared" si="25"/>
        <v>0</v>
      </c>
      <c r="Z10" s="68">
        <f t="shared" si="26"/>
        <v>0</v>
      </c>
      <c r="AA10" s="68">
        <f t="shared" si="27"/>
        <v>0</v>
      </c>
      <c r="AB10" s="68">
        <f t="shared" si="28"/>
        <v>0</v>
      </c>
      <c r="AC10" s="68">
        <f t="shared" si="44"/>
        <v>8.5500000000000007</v>
      </c>
      <c r="AD10" s="546"/>
      <c r="AE10" s="444">
        <f t="shared" si="7"/>
        <v>0</v>
      </c>
      <c r="AF10" s="444">
        <f t="shared" si="7"/>
        <v>0</v>
      </c>
      <c r="AG10" s="444">
        <f t="shared" si="7"/>
        <v>0</v>
      </c>
      <c r="AH10" s="444">
        <f t="shared" si="7"/>
        <v>0</v>
      </c>
      <c r="AI10" s="444">
        <f t="shared" si="7"/>
        <v>3</v>
      </c>
      <c r="AJ10" s="546"/>
      <c r="AK10" s="449">
        <f t="shared" si="29"/>
        <v>0</v>
      </c>
      <c r="AL10" s="449"/>
      <c r="AM10" s="449">
        <f t="shared" si="30"/>
        <v>0</v>
      </c>
      <c r="AN10" s="449">
        <f t="shared" si="31"/>
        <v>0</v>
      </c>
      <c r="AO10" s="449">
        <f t="shared" si="32"/>
        <v>3.16</v>
      </c>
      <c r="AP10" s="546"/>
      <c r="AQ10" s="68">
        <f t="shared" si="33"/>
        <v>0</v>
      </c>
      <c r="AR10" s="68">
        <f t="shared" si="45"/>
        <v>0</v>
      </c>
      <c r="AS10" s="68">
        <f t="shared" si="34"/>
        <v>0</v>
      </c>
      <c r="AT10" s="68">
        <f t="shared" si="35"/>
        <v>0</v>
      </c>
      <c r="AU10" s="68">
        <f t="shared" si="46"/>
        <v>9.48</v>
      </c>
      <c r="AV10" s="546"/>
      <c r="AX10" s="454">
        <v>23</v>
      </c>
      <c r="AY10" s="446"/>
      <c r="AZ10" s="446"/>
      <c r="BA10" s="446"/>
      <c r="BB10" s="446"/>
      <c r="BC10" s="446">
        <v>2.6189579999999997</v>
      </c>
      <c r="BD10" s="446"/>
      <c r="BE10" s="452">
        <f t="shared" si="36"/>
        <v>4.9999999999999989E-2</v>
      </c>
      <c r="BF10" s="442"/>
      <c r="BG10" s="442"/>
      <c r="BH10" s="442"/>
      <c r="BI10" s="442"/>
      <c r="BJ10" s="442">
        <f t="shared" si="37"/>
        <v>0.32</v>
      </c>
      <c r="BK10" s="546"/>
      <c r="BL10" s="546"/>
      <c r="BM10" s="450">
        <f t="shared" si="17"/>
        <v>0</v>
      </c>
      <c r="BN10" s="450">
        <f t="shared" si="18"/>
        <v>0</v>
      </c>
      <c r="BO10" s="450">
        <f t="shared" si="19"/>
        <v>0</v>
      </c>
      <c r="BP10" s="450">
        <f t="shared" si="20"/>
        <v>0</v>
      </c>
      <c r="BQ10" s="450">
        <f t="shared" si="38"/>
        <v>3.207716</v>
      </c>
      <c r="BR10" s="546"/>
      <c r="BS10" s="442">
        <f t="shared" si="39"/>
        <v>0</v>
      </c>
      <c r="BT10" s="442">
        <f t="shared" si="40"/>
        <v>0</v>
      </c>
      <c r="BU10" s="442">
        <f t="shared" si="41"/>
        <v>0</v>
      </c>
      <c r="BV10" s="442">
        <f t="shared" si="42"/>
        <v>0</v>
      </c>
      <c r="BW10" s="442">
        <f t="shared" si="43"/>
        <v>0.58875800000000034</v>
      </c>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row>
    <row r="11" spans="1:123">
      <c r="B11" s="680"/>
      <c r="C11" s="681"/>
      <c r="D11" s="680"/>
      <c r="E11" s="684">
        <f>SUM(E7:E10)</f>
        <v>0</v>
      </c>
      <c r="F11" s="685"/>
      <c r="G11" s="683"/>
      <c r="H11" s="45"/>
      <c r="I11" s="546" t="s">
        <v>409</v>
      </c>
      <c r="J11" s="546" t="s">
        <v>108</v>
      </c>
      <c r="K11" s="206" t="s">
        <v>735</v>
      </c>
      <c r="L11" s="445" t="s">
        <v>691</v>
      </c>
      <c r="M11" s="444">
        <f t="shared" si="0"/>
        <v>0</v>
      </c>
      <c r="N11" s="444">
        <f t="shared" si="0"/>
        <v>0</v>
      </c>
      <c r="O11" s="444">
        <f t="shared" si="0"/>
        <v>0</v>
      </c>
      <c r="P11" s="444">
        <f t="shared" si="0"/>
        <v>0</v>
      </c>
      <c r="Q11" s="444">
        <f t="shared" si="0"/>
        <v>0</v>
      </c>
      <c r="R11" s="444">
        <f t="shared" si="24"/>
        <v>1</v>
      </c>
      <c r="S11" s="470">
        <v>0</v>
      </c>
      <c r="T11" s="470"/>
      <c r="U11" s="470">
        <v>0</v>
      </c>
      <c r="V11" s="470">
        <v>0</v>
      </c>
      <c r="W11" s="470">
        <v>3.34</v>
      </c>
      <c r="X11" s="546"/>
      <c r="Y11" s="68">
        <f t="shared" si="25"/>
        <v>0</v>
      </c>
      <c r="Z11" s="68">
        <f t="shared" si="26"/>
        <v>0</v>
      </c>
      <c r="AA11" s="68">
        <f t="shared" si="27"/>
        <v>0</v>
      </c>
      <c r="AB11" s="68">
        <f t="shared" si="28"/>
        <v>0</v>
      </c>
      <c r="AC11" s="68">
        <f t="shared" si="44"/>
        <v>0</v>
      </c>
      <c r="AD11" s="546"/>
      <c r="AE11" s="444">
        <f t="shared" si="7"/>
        <v>0</v>
      </c>
      <c r="AF11" s="444">
        <f t="shared" si="7"/>
        <v>0</v>
      </c>
      <c r="AG11" s="444">
        <f t="shared" si="7"/>
        <v>0</v>
      </c>
      <c r="AH11" s="444">
        <f t="shared" si="7"/>
        <v>0</v>
      </c>
      <c r="AI11" s="444">
        <f t="shared" si="7"/>
        <v>0</v>
      </c>
      <c r="AJ11" s="546"/>
      <c r="AK11" s="449">
        <f t="shared" si="29"/>
        <v>0</v>
      </c>
      <c r="AL11" s="449"/>
      <c r="AM11" s="449">
        <f t="shared" si="30"/>
        <v>0</v>
      </c>
      <c r="AN11" s="449">
        <f t="shared" si="31"/>
        <v>0</v>
      </c>
      <c r="AO11" s="449">
        <f t="shared" si="32"/>
        <v>3.7</v>
      </c>
      <c r="AP11" s="546"/>
      <c r="AQ11" s="68">
        <f t="shared" si="33"/>
        <v>0</v>
      </c>
      <c r="AR11" s="68">
        <f t="shared" si="45"/>
        <v>0</v>
      </c>
      <c r="AS11" s="68">
        <f t="shared" si="34"/>
        <v>0</v>
      </c>
      <c r="AT11" s="68">
        <f t="shared" si="35"/>
        <v>0</v>
      </c>
      <c r="AU11" s="68">
        <f t="shared" si="46"/>
        <v>0</v>
      </c>
      <c r="AV11" s="546"/>
      <c r="AX11" s="454">
        <v>27</v>
      </c>
      <c r="AY11" s="446"/>
      <c r="AZ11" s="446"/>
      <c r="BA11" s="446"/>
      <c r="BB11" s="446"/>
      <c r="BC11" s="446">
        <v>3.0757529999999993</v>
      </c>
      <c r="BD11" s="446"/>
      <c r="BE11" s="452">
        <f t="shared" si="36"/>
        <v>0.06</v>
      </c>
      <c r="BF11" s="442"/>
      <c r="BG11" s="442"/>
      <c r="BH11" s="442"/>
      <c r="BI11" s="442"/>
      <c r="BJ11" s="442">
        <f t="shared" si="37"/>
        <v>0.37</v>
      </c>
      <c r="BK11" s="546"/>
      <c r="BL11" s="546"/>
      <c r="BM11" s="450">
        <f t="shared" si="17"/>
        <v>0</v>
      </c>
      <c r="BN11" s="450">
        <f t="shared" si="18"/>
        <v>0</v>
      </c>
      <c r="BO11" s="450">
        <f t="shared" si="19"/>
        <v>0</v>
      </c>
      <c r="BP11" s="450">
        <f t="shared" si="20"/>
        <v>0</v>
      </c>
      <c r="BQ11" s="450">
        <f t="shared" si="38"/>
        <v>3.7558699999999998</v>
      </c>
      <c r="BR11" s="546"/>
      <c r="BS11" s="442">
        <f t="shared" si="39"/>
        <v>0</v>
      </c>
      <c r="BT11" s="442">
        <f t="shared" si="40"/>
        <v>0</v>
      </c>
      <c r="BU11" s="442">
        <f t="shared" si="41"/>
        <v>0</v>
      </c>
      <c r="BV11" s="442">
        <f t="shared" si="42"/>
        <v>0</v>
      </c>
      <c r="BW11" s="442">
        <f t="shared" si="43"/>
        <v>0.68011700000000053</v>
      </c>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row>
    <row r="12" spans="1:123">
      <c r="B12" s="680"/>
      <c r="C12" s="680"/>
      <c r="D12" s="680"/>
      <c r="E12" s="683"/>
      <c r="F12" s="70"/>
      <c r="G12" s="70" t="str">
        <f t="shared" ref="G12:G13" si="47">IF(OR(ISBLANK(C12),ISBLANK(D12)),"",TEXT(C12,"000")&amp;TEXT(D12,"000"))</f>
        <v/>
      </c>
      <c r="I12" s="546" t="s">
        <v>409</v>
      </c>
      <c r="J12" s="546" t="s">
        <v>108</v>
      </c>
      <c r="K12" s="206" t="s">
        <v>735</v>
      </c>
      <c r="L12" s="445" t="s">
        <v>692</v>
      </c>
      <c r="M12" s="444">
        <f t="shared" si="0"/>
        <v>0</v>
      </c>
      <c r="N12" s="444">
        <f t="shared" si="0"/>
        <v>0</v>
      </c>
      <c r="O12" s="444">
        <f t="shared" si="0"/>
        <v>0</v>
      </c>
      <c r="P12" s="444">
        <f t="shared" si="0"/>
        <v>0</v>
      </c>
      <c r="Q12" s="444">
        <f t="shared" si="0"/>
        <v>0</v>
      </c>
      <c r="R12" s="444">
        <f t="shared" si="24"/>
        <v>1</v>
      </c>
      <c r="S12" s="470">
        <v>0</v>
      </c>
      <c r="T12" s="470"/>
      <c r="U12" s="470">
        <v>0</v>
      </c>
      <c r="V12" s="470">
        <v>0</v>
      </c>
      <c r="W12" s="470">
        <v>3.84</v>
      </c>
      <c r="X12" s="546"/>
      <c r="Y12" s="68">
        <f t="shared" si="25"/>
        <v>0</v>
      </c>
      <c r="Z12" s="68">
        <f t="shared" si="26"/>
        <v>0</v>
      </c>
      <c r="AA12" s="68">
        <f t="shared" si="27"/>
        <v>0</v>
      </c>
      <c r="AB12" s="68">
        <f t="shared" si="28"/>
        <v>0</v>
      </c>
      <c r="AC12" s="68">
        <f t="shared" si="44"/>
        <v>0</v>
      </c>
      <c r="AD12" s="546"/>
      <c r="AE12" s="444">
        <f t="shared" si="7"/>
        <v>0</v>
      </c>
      <c r="AF12" s="444">
        <f t="shared" si="7"/>
        <v>0</v>
      </c>
      <c r="AG12" s="444">
        <f t="shared" si="7"/>
        <v>0</v>
      </c>
      <c r="AH12" s="444">
        <f t="shared" si="7"/>
        <v>0</v>
      </c>
      <c r="AI12" s="444">
        <f t="shared" si="7"/>
        <v>0</v>
      </c>
      <c r="AJ12" s="546"/>
      <c r="AK12" s="449">
        <f t="shared" si="29"/>
        <v>0</v>
      </c>
      <c r="AL12" s="449"/>
      <c r="AM12" s="449">
        <f t="shared" si="30"/>
        <v>0</v>
      </c>
      <c r="AN12" s="449">
        <f t="shared" si="31"/>
        <v>0</v>
      </c>
      <c r="AO12" s="449">
        <f t="shared" si="32"/>
        <v>4.26</v>
      </c>
      <c r="AP12" s="546"/>
      <c r="AQ12" s="68">
        <f t="shared" si="33"/>
        <v>0</v>
      </c>
      <c r="AR12" s="68">
        <f t="shared" si="45"/>
        <v>0</v>
      </c>
      <c r="AS12" s="68">
        <f t="shared" si="34"/>
        <v>0</v>
      </c>
      <c r="AT12" s="68">
        <f t="shared" si="35"/>
        <v>0</v>
      </c>
      <c r="AU12" s="68">
        <f t="shared" si="46"/>
        <v>0</v>
      </c>
      <c r="AV12" s="546"/>
      <c r="AX12" s="454">
        <v>31</v>
      </c>
      <c r="AY12" s="446"/>
      <c r="AZ12" s="446"/>
      <c r="BA12" s="446"/>
      <c r="BB12" s="446"/>
      <c r="BC12" s="446">
        <v>3.5325479999999998</v>
      </c>
      <c r="BD12" s="446"/>
      <c r="BE12" s="452">
        <f t="shared" si="36"/>
        <v>7.0000000000000007E-2</v>
      </c>
      <c r="BF12" s="442"/>
      <c r="BG12" s="442"/>
      <c r="BH12" s="442"/>
      <c r="BI12" s="442"/>
      <c r="BJ12" s="442">
        <f t="shared" si="37"/>
        <v>0.44</v>
      </c>
      <c r="BK12" s="546"/>
      <c r="BL12" s="546"/>
      <c r="BM12" s="450">
        <f t="shared" si="17"/>
        <v>0</v>
      </c>
      <c r="BN12" s="450">
        <f t="shared" si="18"/>
        <v>0</v>
      </c>
      <c r="BO12" s="450">
        <f t="shared" si="19"/>
        <v>0</v>
      </c>
      <c r="BP12" s="450">
        <f t="shared" si="20"/>
        <v>0</v>
      </c>
      <c r="BQ12" s="450">
        <f t="shared" si="38"/>
        <v>4.3243259999999992</v>
      </c>
      <c r="BR12" s="546"/>
      <c r="BS12" s="442">
        <f t="shared" si="39"/>
        <v>0</v>
      </c>
      <c r="BT12" s="442">
        <f t="shared" si="40"/>
        <v>0</v>
      </c>
      <c r="BU12" s="442">
        <f t="shared" si="41"/>
        <v>0</v>
      </c>
      <c r="BV12" s="442">
        <f t="shared" si="42"/>
        <v>0</v>
      </c>
      <c r="BW12" s="442">
        <f t="shared" si="43"/>
        <v>0.79177799999999943</v>
      </c>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row>
    <row r="13" spans="1:123">
      <c r="B13" s="680">
        <v>2</v>
      </c>
      <c r="C13" s="681" t="s">
        <v>97</v>
      </c>
      <c r="D13" s="680">
        <v>234</v>
      </c>
      <c r="E13" s="629">
        <v>61</v>
      </c>
      <c r="F13" s="70"/>
      <c r="G13" s="70" t="str">
        <f t="shared" si="47"/>
        <v>042234</v>
      </c>
      <c r="H13" s="676"/>
      <c r="I13" s="546" t="s">
        <v>409</v>
      </c>
      <c r="J13" s="546" t="s">
        <v>108</v>
      </c>
      <c r="K13" s="206" t="s">
        <v>735</v>
      </c>
      <c r="L13" s="445" t="s">
        <v>693</v>
      </c>
      <c r="M13" s="444">
        <f t="shared" si="0"/>
        <v>0</v>
      </c>
      <c r="N13" s="444">
        <f t="shared" si="0"/>
        <v>0</v>
      </c>
      <c r="O13" s="444">
        <f t="shared" si="0"/>
        <v>0</v>
      </c>
      <c r="P13" s="444">
        <f t="shared" si="0"/>
        <v>0</v>
      </c>
      <c r="Q13" s="444">
        <f t="shared" si="0"/>
        <v>0</v>
      </c>
      <c r="R13" s="444">
        <f t="shared" si="24"/>
        <v>1</v>
      </c>
      <c r="S13" s="470">
        <v>0</v>
      </c>
      <c r="T13" s="470"/>
      <c r="U13" s="470">
        <v>0</v>
      </c>
      <c r="V13" s="470">
        <v>0</v>
      </c>
      <c r="W13" s="470">
        <v>4.22</v>
      </c>
      <c r="X13" s="546"/>
      <c r="Y13" s="68">
        <f t="shared" si="25"/>
        <v>0</v>
      </c>
      <c r="Z13" s="68">
        <f t="shared" si="26"/>
        <v>0</v>
      </c>
      <c r="AA13" s="68">
        <f t="shared" si="27"/>
        <v>0</v>
      </c>
      <c r="AB13" s="68">
        <f t="shared" si="28"/>
        <v>0</v>
      </c>
      <c r="AC13" s="68">
        <f t="shared" si="44"/>
        <v>0</v>
      </c>
      <c r="AD13" s="546"/>
      <c r="AE13" s="444">
        <f t="shared" si="7"/>
        <v>0</v>
      </c>
      <c r="AF13" s="444">
        <f t="shared" si="7"/>
        <v>0</v>
      </c>
      <c r="AG13" s="444">
        <f t="shared" si="7"/>
        <v>0</v>
      </c>
      <c r="AH13" s="444">
        <f t="shared" si="7"/>
        <v>0</v>
      </c>
      <c r="AI13" s="444">
        <f t="shared" si="7"/>
        <v>0</v>
      </c>
      <c r="AJ13" s="546"/>
      <c r="AK13" s="449">
        <f t="shared" si="29"/>
        <v>0</v>
      </c>
      <c r="AL13" s="449"/>
      <c r="AM13" s="449">
        <f t="shared" si="30"/>
        <v>0</v>
      </c>
      <c r="AN13" s="449">
        <f t="shared" si="31"/>
        <v>0</v>
      </c>
      <c r="AO13" s="449">
        <f t="shared" si="32"/>
        <v>4.68</v>
      </c>
      <c r="AP13" s="546"/>
      <c r="AQ13" s="68">
        <f t="shared" si="33"/>
        <v>0</v>
      </c>
      <c r="AR13" s="68">
        <f t="shared" si="45"/>
        <v>0</v>
      </c>
      <c r="AS13" s="68">
        <f t="shared" si="34"/>
        <v>0</v>
      </c>
      <c r="AT13" s="68">
        <f t="shared" si="35"/>
        <v>0</v>
      </c>
      <c r="AU13" s="68">
        <f t="shared" si="46"/>
        <v>0</v>
      </c>
      <c r="AV13" s="546"/>
      <c r="AX13" s="454">
        <v>34</v>
      </c>
      <c r="AY13" s="446"/>
      <c r="AZ13" s="446"/>
      <c r="BA13" s="446"/>
      <c r="BB13" s="446"/>
      <c r="BC13" s="446">
        <v>3.8776819999999996</v>
      </c>
      <c r="BD13" s="446"/>
      <c r="BE13" s="452">
        <f t="shared" si="36"/>
        <v>6.9999999999999951E-2</v>
      </c>
      <c r="BF13" s="442"/>
      <c r="BG13" s="442"/>
      <c r="BH13" s="442"/>
      <c r="BI13" s="442"/>
      <c r="BJ13" s="442">
        <f t="shared" si="37"/>
        <v>0.48</v>
      </c>
      <c r="BK13" s="546"/>
      <c r="BL13" s="546"/>
      <c r="BM13" s="450">
        <f t="shared" si="17"/>
        <v>0</v>
      </c>
      <c r="BN13" s="450">
        <f t="shared" si="18"/>
        <v>0</v>
      </c>
      <c r="BO13" s="450">
        <f t="shared" si="19"/>
        <v>0</v>
      </c>
      <c r="BP13" s="450">
        <f t="shared" si="20"/>
        <v>0</v>
      </c>
      <c r="BQ13" s="450">
        <f t="shared" si="38"/>
        <v>4.7506679999999992</v>
      </c>
      <c r="BR13" s="546"/>
      <c r="BS13" s="442">
        <f t="shared" si="39"/>
        <v>0</v>
      </c>
      <c r="BT13" s="442">
        <f t="shared" si="40"/>
        <v>0</v>
      </c>
      <c r="BU13" s="442">
        <f t="shared" si="41"/>
        <v>0</v>
      </c>
      <c r="BV13" s="442">
        <f t="shared" si="42"/>
        <v>0</v>
      </c>
      <c r="BW13" s="442">
        <f t="shared" si="43"/>
        <v>0.8729859999999996</v>
      </c>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row>
    <row r="14" spans="1:123">
      <c r="B14" s="680">
        <v>2</v>
      </c>
      <c r="C14" s="681" t="s">
        <v>97</v>
      </c>
      <c r="D14" s="680">
        <v>421</v>
      </c>
      <c r="E14" s="629">
        <v>2</v>
      </c>
      <c r="F14" s="683"/>
      <c r="G14" s="683" t="str">
        <f t="shared" ref="G14:G41" si="48">IF(OR(ISBLANK(C14),ISBLANK(D14)),"",TEXT(C14,"000")&amp;TEXT(D14,"000"))</f>
        <v>042421</v>
      </c>
      <c r="H14" s="688"/>
      <c r="I14" s="546" t="s">
        <v>409</v>
      </c>
      <c r="J14" s="546" t="s">
        <v>108</v>
      </c>
      <c r="K14" s="206" t="s">
        <v>735</v>
      </c>
      <c r="L14" s="445" t="s">
        <v>694</v>
      </c>
      <c r="M14" s="444">
        <f t="shared" ref="M14:Q23" si="49">SUMIF($G:$G,TEXT(M$3,"000")&amp;TEXT($L14,"000"),$E:$E)</f>
        <v>0</v>
      </c>
      <c r="N14" s="444">
        <f t="shared" si="49"/>
        <v>0</v>
      </c>
      <c r="O14" s="444">
        <f t="shared" si="49"/>
        <v>0</v>
      </c>
      <c r="P14" s="444">
        <f t="shared" si="49"/>
        <v>0</v>
      </c>
      <c r="Q14" s="444">
        <f t="shared" si="49"/>
        <v>8</v>
      </c>
      <c r="R14" s="444">
        <f t="shared" si="24"/>
        <v>0</v>
      </c>
      <c r="S14" s="470">
        <v>0</v>
      </c>
      <c r="T14" s="470"/>
      <c r="U14" s="470">
        <v>0</v>
      </c>
      <c r="V14" s="470">
        <v>0</v>
      </c>
      <c r="W14" s="470">
        <v>4.7</v>
      </c>
      <c r="X14" s="546"/>
      <c r="Y14" s="68">
        <f t="shared" si="25"/>
        <v>0</v>
      </c>
      <c r="Z14" s="68">
        <f t="shared" si="26"/>
        <v>0</v>
      </c>
      <c r="AA14" s="68">
        <f t="shared" si="27"/>
        <v>0</v>
      </c>
      <c r="AB14" s="68">
        <f t="shared" si="28"/>
        <v>0</v>
      </c>
      <c r="AC14" s="68">
        <f t="shared" si="44"/>
        <v>37.6</v>
      </c>
      <c r="AD14" s="546"/>
      <c r="AE14" s="444">
        <f t="shared" ref="AE14:AI25" si="50">SUMIF($G:$G,TEXT(AE$3,"000")&amp;TEXT($L14,"000"),$E:$E)</f>
        <v>0</v>
      </c>
      <c r="AF14" s="444">
        <f t="shared" si="50"/>
        <v>0</v>
      </c>
      <c r="AG14" s="444">
        <f t="shared" si="50"/>
        <v>0</v>
      </c>
      <c r="AH14" s="444">
        <f t="shared" si="50"/>
        <v>0</v>
      </c>
      <c r="AI14" s="444">
        <f t="shared" si="50"/>
        <v>8</v>
      </c>
      <c r="AJ14" s="546"/>
      <c r="AK14" s="449">
        <f t="shared" si="29"/>
        <v>0</v>
      </c>
      <c r="AL14" s="449"/>
      <c r="AM14" s="449">
        <f t="shared" si="30"/>
        <v>0</v>
      </c>
      <c r="AN14" s="449">
        <f t="shared" si="31"/>
        <v>0</v>
      </c>
      <c r="AO14" s="449">
        <f t="shared" si="32"/>
        <v>5.21</v>
      </c>
      <c r="AP14" s="546"/>
      <c r="AQ14" s="68">
        <f t="shared" si="33"/>
        <v>0</v>
      </c>
      <c r="AR14" s="68">
        <f t="shared" si="45"/>
        <v>0</v>
      </c>
      <c r="AS14" s="68">
        <f t="shared" si="34"/>
        <v>0</v>
      </c>
      <c r="AT14" s="68">
        <f t="shared" si="35"/>
        <v>0</v>
      </c>
      <c r="AU14" s="68">
        <f t="shared" si="46"/>
        <v>41.68</v>
      </c>
      <c r="AV14" s="546"/>
      <c r="AX14" s="454">
        <v>38</v>
      </c>
      <c r="AY14" s="446"/>
      <c r="AZ14" s="446"/>
      <c r="BA14" s="446"/>
      <c r="BB14" s="446"/>
      <c r="BC14" s="446">
        <v>4.3344769999999988</v>
      </c>
      <c r="BD14" s="446"/>
      <c r="BE14" s="452">
        <f t="shared" si="36"/>
        <v>8.0000000000000016E-2</v>
      </c>
      <c r="BF14" s="442"/>
      <c r="BG14" s="442"/>
      <c r="BH14" s="442"/>
      <c r="BI14" s="442"/>
      <c r="BJ14" s="442">
        <f t="shared" si="37"/>
        <v>0.52</v>
      </c>
      <c r="BK14" s="546"/>
      <c r="BL14" s="546"/>
      <c r="BM14" s="450">
        <f t="shared" si="17"/>
        <v>0</v>
      </c>
      <c r="BN14" s="450">
        <f t="shared" si="18"/>
        <v>0</v>
      </c>
      <c r="BO14" s="450">
        <f t="shared" si="19"/>
        <v>0</v>
      </c>
      <c r="BP14" s="450">
        <f t="shared" si="20"/>
        <v>0</v>
      </c>
      <c r="BQ14" s="450">
        <f t="shared" si="38"/>
        <v>5.288670999999999</v>
      </c>
      <c r="BR14" s="546"/>
      <c r="BS14" s="442">
        <f t="shared" si="39"/>
        <v>0</v>
      </c>
      <c r="BT14" s="442">
        <f t="shared" si="40"/>
        <v>0</v>
      </c>
      <c r="BU14" s="442">
        <f t="shared" si="41"/>
        <v>0</v>
      </c>
      <c r="BV14" s="442">
        <f t="shared" si="42"/>
        <v>0</v>
      </c>
      <c r="BW14" s="442">
        <f t="shared" si="43"/>
        <v>0.95419400000000021</v>
      </c>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row>
    <row r="15" spans="1:123">
      <c r="A15" s="486"/>
      <c r="B15" s="680">
        <v>2</v>
      </c>
      <c r="C15" s="681" t="s">
        <v>97</v>
      </c>
      <c r="D15" s="680" t="s">
        <v>492</v>
      </c>
      <c r="E15" s="629">
        <v>1</v>
      </c>
      <c r="F15" s="683"/>
      <c r="G15" s="683" t="str">
        <f t="shared" si="48"/>
        <v>042421L</v>
      </c>
      <c r="H15" s="688"/>
      <c r="I15" s="546" t="s">
        <v>409</v>
      </c>
      <c r="J15" s="546" t="s">
        <v>108</v>
      </c>
      <c r="K15" s="206" t="s">
        <v>735</v>
      </c>
      <c r="L15" s="445" t="s">
        <v>695</v>
      </c>
      <c r="M15" s="444">
        <f t="shared" si="49"/>
        <v>0</v>
      </c>
      <c r="N15" s="444">
        <f t="shared" si="49"/>
        <v>0</v>
      </c>
      <c r="O15" s="444">
        <f t="shared" si="49"/>
        <v>0</v>
      </c>
      <c r="P15" s="444">
        <f t="shared" si="49"/>
        <v>0</v>
      </c>
      <c r="Q15" s="444">
        <f t="shared" si="49"/>
        <v>0</v>
      </c>
      <c r="R15" s="444">
        <f t="shared" si="24"/>
        <v>1</v>
      </c>
      <c r="S15" s="470">
        <v>0</v>
      </c>
      <c r="T15" s="470"/>
      <c r="U15" s="470">
        <v>0</v>
      </c>
      <c r="V15" s="470">
        <v>0</v>
      </c>
      <c r="W15" s="470">
        <v>5.08</v>
      </c>
      <c r="X15" s="546"/>
      <c r="Y15" s="68">
        <f t="shared" si="25"/>
        <v>0</v>
      </c>
      <c r="Z15" s="68">
        <f t="shared" si="26"/>
        <v>0</v>
      </c>
      <c r="AA15" s="68">
        <f t="shared" si="27"/>
        <v>0</v>
      </c>
      <c r="AB15" s="68">
        <f t="shared" si="28"/>
        <v>0</v>
      </c>
      <c r="AC15" s="68">
        <f t="shared" si="44"/>
        <v>0</v>
      </c>
      <c r="AD15" s="546"/>
      <c r="AE15" s="444">
        <f t="shared" si="50"/>
        <v>0</v>
      </c>
      <c r="AF15" s="444">
        <f t="shared" si="50"/>
        <v>0</v>
      </c>
      <c r="AG15" s="444">
        <f t="shared" si="50"/>
        <v>0</v>
      </c>
      <c r="AH15" s="444">
        <f t="shared" si="50"/>
        <v>0</v>
      </c>
      <c r="AI15" s="444">
        <f t="shared" si="50"/>
        <v>0</v>
      </c>
      <c r="AJ15" s="546"/>
      <c r="AK15" s="449">
        <f t="shared" si="29"/>
        <v>0</v>
      </c>
      <c r="AL15" s="449"/>
      <c r="AM15" s="449">
        <f t="shared" si="30"/>
        <v>0</v>
      </c>
      <c r="AN15" s="449">
        <f t="shared" si="31"/>
        <v>0</v>
      </c>
      <c r="AO15" s="449">
        <f t="shared" si="32"/>
        <v>5.63</v>
      </c>
      <c r="AP15" s="546"/>
      <c r="AQ15" s="68">
        <f t="shared" si="33"/>
        <v>0</v>
      </c>
      <c r="AR15" s="68">
        <f t="shared" si="45"/>
        <v>0</v>
      </c>
      <c r="AS15" s="68">
        <f t="shared" si="34"/>
        <v>0</v>
      </c>
      <c r="AT15" s="68">
        <f t="shared" si="35"/>
        <v>0</v>
      </c>
      <c r="AU15" s="68">
        <f t="shared" si="46"/>
        <v>0</v>
      </c>
      <c r="AV15" s="546"/>
      <c r="AX15" s="454">
        <v>41</v>
      </c>
      <c r="AY15" s="446"/>
      <c r="AZ15" s="446"/>
      <c r="BA15" s="446"/>
      <c r="BB15" s="446"/>
      <c r="BC15" s="446">
        <v>4.6796109999999995</v>
      </c>
      <c r="BD15" s="446"/>
      <c r="BE15" s="452">
        <f t="shared" si="36"/>
        <v>8.9999999999999969E-2</v>
      </c>
      <c r="BF15" s="442"/>
      <c r="BG15" s="442"/>
      <c r="BH15" s="442"/>
      <c r="BI15" s="442"/>
      <c r="BJ15" s="442">
        <f t="shared" si="37"/>
        <v>0.56999999999999995</v>
      </c>
      <c r="BK15" s="546"/>
      <c r="BL15" s="546"/>
      <c r="BM15" s="450">
        <f t="shared" si="17"/>
        <v>0</v>
      </c>
      <c r="BN15" s="450">
        <f t="shared" si="18"/>
        <v>0</v>
      </c>
      <c r="BO15" s="450">
        <f t="shared" si="19"/>
        <v>0</v>
      </c>
      <c r="BP15" s="450">
        <f t="shared" si="20"/>
        <v>0</v>
      </c>
      <c r="BQ15" s="450">
        <f t="shared" si="38"/>
        <v>5.715012999999999</v>
      </c>
      <c r="BR15" s="546"/>
      <c r="BS15" s="442">
        <f t="shared" si="39"/>
        <v>0</v>
      </c>
      <c r="BT15" s="442">
        <f t="shared" si="40"/>
        <v>0</v>
      </c>
      <c r="BU15" s="442">
        <f t="shared" si="41"/>
        <v>0</v>
      </c>
      <c r="BV15" s="442">
        <f t="shared" si="42"/>
        <v>0</v>
      </c>
      <c r="BW15" s="442">
        <f t="shared" si="43"/>
        <v>1.0354019999999995</v>
      </c>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row>
    <row r="16" spans="1:123">
      <c r="B16" s="680">
        <v>2</v>
      </c>
      <c r="C16" s="681" t="s">
        <v>97</v>
      </c>
      <c r="D16" s="680">
        <v>431</v>
      </c>
      <c r="E16" s="629">
        <v>485</v>
      </c>
      <c r="F16" s="683"/>
      <c r="G16" s="683" t="str">
        <f t="shared" si="48"/>
        <v>042431</v>
      </c>
      <c r="H16" s="688"/>
      <c r="I16" s="546" t="s">
        <v>409</v>
      </c>
      <c r="J16" s="546" t="s">
        <v>108</v>
      </c>
      <c r="K16" s="206" t="s">
        <v>735</v>
      </c>
      <c r="L16" s="445" t="s">
        <v>696</v>
      </c>
      <c r="M16" s="444">
        <f t="shared" si="49"/>
        <v>0</v>
      </c>
      <c r="N16" s="444">
        <f t="shared" si="49"/>
        <v>0</v>
      </c>
      <c r="O16" s="444">
        <f t="shared" si="49"/>
        <v>0</v>
      </c>
      <c r="P16" s="444">
        <f t="shared" si="49"/>
        <v>0</v>
      </c>
      <c r="Q16" s="444">
        <f t="shared" si="49"/>
        <v>159</v>
      </c>
      <c r="R16" s="444">
        <f t="shared" si="24"/>
        <v>0</v>
      </c>
      <c r="S16" s="470">
        <v>0</v>
      </c>
      <c r="T16" s="470"/>
      <c r="U16" s="470">
        <v>0</v>
      </c>
      <c r="V16" s="470">
        <v>0</v>
      </c>
      <c r="W16" s="470">
        <v>5.57</v>
      </c>
      <c r="X16" s="546"/>
      <c r="Y16" s="68">
        <f t="shared" si="25"/>
        <v>0</v>
      </c>
      <c r="Z16" s="68">
        <f t="shared" si="26"/>
        <v>0</v>
      </c>
      <c r="AA16" s="68">
        <f t="shared" si="27"/>
        <v>0</v>
      </c>
      <c r="AB16" s="68">
        <f t="shared" si="28"/>
        <v>0</v>
      </c>
      <c r="AC16" s="68">
        <f t="shared" si="44"/>
        <v>885.63</v>
      </c>
      <c r="AD16" s="546"/>
      <c r="AE16" s="444">
        <f t="shared" si="50"/>
        <v>0</v>
      </c>
      <c r="AF16" s="444">
        <f t="shared" si="50"/>
        <v>0</v>
      </c>
      <c r="AG16" s="444">
        <f t="shared" si="50"/>
        <v>0</v>
      </c>
      <c r="AH16" s="444">
        <f t="shared" si="50"/>
        <v>0</v>
      </c>
      <c r="AI16" s="444">
        <f t="shared" si="50"/>
        <v>159</v>
      </c>
      <c r="AJ16" s="546"/>
      <c r="AK16" s="449">
        <f t="shared" si="29"/>
        <v>0</v>
      </c>
      <c r="AL16" s="449"/>
      <c r="AM16" s="449">
        <f t="shared" si="30"/>
        <v>0</v>
      </c>
      <c r="AN16" s="449">
        <f t="shared" si="31"/>
        <v>0</v>
      </c>
      <c r="AO16" s="449">
        <f t="shared" si="32"/>
        <v>6.18</v>
      </c>
      <c r="AP16" s="546"/>
      <c r="AQ16" s="68">
        <f t="shared" si="33"/>
        <v>0</v>
      </c>
      <c r="AR16" s="68">
        <f t="shared" si="45"/>
        <v>0</v>
      </c>
      <c r="AS16" s="68">
        <f t="shared" si="34"/>
        <v>0</v>
      </c>
      <c r="AT16" s="68">
        <f t="shared" si="35"/>
        <v>0</v>
      </c>
      <c r="AU16" s="68">
        <f t="shared" si="46"/>
        <v>982.62</v>
      </c>
      <c r="AV16" s="546"/>
      <c r="AX16" s="454">
        <v>45</v>
      </c>
      <c r="AY16" s="446"/>
      <c r="AZ16" s="446"/>
      <c r="BA16" s="446"/>
      <c r="BB16" s="446"/>
      <c r="BC16" s="446">
        <v>5.1262549999999996</v>
      </c>
      <c r="BD16" s="446"/>
      <c r="BE16" s="452">
        <f t="shared" si="36"/>
        <v>9.9999999999999978E-2</v>
      </c>
      <c r="BF16" s="442"/>
      <c r="BG16" s="442"/>
      <c r="BH16" s="442"/>
      <c r="BI16" s="442"/>
      <c r="BJ16" s="442">
        <f t="shared" si="37"/>
        <v>0.63</v>
      </c>
      <c r="BK16" s="546"/>
      <c r="BL16" s="546"/>
      <c r="BM16" s="450">
        <f t="shared" si="17"/>
        <v>0</v>
      </c>
      <c r="BN16" s="450">
        <f t="shared" si="18"/>
        <v>0</v>
      </c>
      <c r="BO16" s="450">
        <f t="shared" si="19"/>
        <v>0</v>
      </c>
      <c r="BP16" s="450">
        <f t="shared" si="20"/>
        <v>0</v>
      </c>
      <c r="BQ16" s="450">
        <f t="shared" si="38"/>
        <v>6.2733179999999988</v>
      </c>
      <c r="BR16" s="546"/>
      <c r="BS16" s="442">
        <f t="shared" si="39"/>
        <v>0</v>
      </c>
      <c r="BT16" s="442">
        <f t="shared" si="40"/>
        <v>0</v>
      </c>
      <c r="BU16" s="442">
        <f t="shared" si="41"/>
        <v>0</v>
      </c>
      <c r="BV16" s="442">
        <f t="shared" si="42"/>
        <v>0</v>
      </c>
      <c r="BW16" s="442">
        <f t="shared" si="43"/>
        <v>1.1470629999999993</v>
      </c>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row>
    <row r="17" spans="1:123">
      <c r="A17" s="486"/>
      <c r="B17" s="680">
        <v>2</v>
      </c>
      <c r="C17" s="681" t="s">
        <v>97</v>
      </c>
      <c r="D17" s="680" t="s">
        <v>493</v>
      </c>
      <c r="E17" s="629">
        <v>5366</v>
      </c>
      <c r="F17" s="683"/>
      <c r="G17" s="683" t="str">
        <f t="shared" si="48"/>
        <v>042431L</v>
      </c>
      <c r="H17" s="688"/>
      <c r="I17" s="546" t="s">
        <v>409</v>
      </c>
      <c r="J17" s="546" t="s">
        <v>108</v>
      </c>
      <c r="K17" s="206" t="s">
        <v>735</v>
      </c>
      <c r="L17" s="445" t="s">
        <v>697</v>
      </c>
      <c r="M17" s="444">
        <f t="shared" si="49"/>
        <v>0</v>
      </c>
      <c r="N17" s="444">
        <f t="shared" si="49"/>
        <v>0</v>
      </c>
      <c r="O17" s="444">
        <f t="shared" si="49"/>
        <v>0</v>
      </c>
      <c r="P17" s="444">
        <f t="shared" si="49"/>
        <v>0</v>
      </c>
      <c r="Q17" s="444">
        <f t="shared" si="49"/>
        <v>36</v>
      </c>
      <c r="R17" s="444">
        <f t="shared" si="24"/>
        <v>0</v>
      </c>
      <c r="S17" s="470">
        <v>0</v>
      </c>
      <c r="T17" s="470"/>
      <c r="U17" s="470">
        <v>0</v>
      </c>
      <c r="V17" s="470">
        <v>0</v>
      </c>
      <c r="W17" s="470">
        <v>6.08</v>
      </c>
      <c r="X17" s="546"/>
      <c r="Y17" s="68">
        <f t="shared" si="25"/>
        <v>0</v>
      </c>
      <c r="Z17" s="68">
        <f t="shared" si="26"/>
        <v>0</v>
      </c>
      <c r="AA17" s="68">
        <f t="shared" si="27"/>
        <v>0</v>
      </c>
      <c r="AB17" s="68">
        <f t="shared" si="28"/>
        <v>0</v>
      </c>
      <c r="AC17" s="68">
        <f t="shared" si="44"/>
        <v>218.88</v>
      </c>
      <c r="AD17" s="546"/>
      <c r="AE17" s="444">
        <f t="shared" si="50"/>
        <v>0</v>
      </c>
      <c r="AF17" s="444">
        <f t="shared" si="50"/>
        <v>0</v>
      </c>
      <c r="AG17" s="444">
        <f t="shared" si="50"/>
        <v>0</v>
      </c>
      <c r="AH17" s="444">
        <f t="shared" si="50"/>
        <v>0</v>
      </c>
      <c r="AI17" s="444">
        <f t="shared" si="50"/>
        <v>36</v>
      </c>
      <c r="AJ17" s="546"/>
      <c r="AK17" s="449">
        <f t="shared" si="29"/>
        <v>0</v>
      </c>
      <c r="AL17" s="449"/>
      <c r="AM17" s="449">
        <f t="shared" si="30"/>
        <v>0</v>
      </c>
      <c r="AN17" s="449">
        <f t="shared" si="31"/>
        <v>0</v>
      </c>
      <c r="AO17" s="449">
        <f t="shared" si="32"/>
        <v>6.74</v>
      </c>
      <c r="AP17" s="546"/>
      <c r="AQ17" s="68">
        <f t="shared" si="33"/>
        <v>0</v>
      </c>
      <c r="AR17" s="68">
        <f t="shared" si="45"/>
        <v>0</v>
      </c>
      <c r="AS17" s="68">
        <f t="shared" si="34"/>
        <v>0</v>
      </c>
      <c r="AT17" s="68">
        <f t="shared" si="35"/>
        <v>0</v>
      </c>
      <c r="AU17" s="68">
        <f t="shared" si="46"/>
        <v>242.64000000000001</v>
      </c>
      <c r="AV17" s="546"/>
      <c r="AX17" s="454">
        <v>49</v>
      </c>
      <c r="AY17" s="446"/>
      <c r="AZ17" s="446"/>
      <c r="BA17" s="446"/>
      <c r="BB17" s="446"/>
      <c r="BC17" s="446">
        <v>5.5932009999999988</v>
      </c>
      <c r="BD17" s="446"/>
      <c r="BE17" s="452">
        <f t="shared" si="36"/>
        <v>0.1100000000000001</v>
      </c>
      <c r="BF17" s="442"/>
      <c r="BG17" s="442"/>
      <c r="BH17" s="442"/>
      <c r="BI17" s="442"/>
      <c r="BJ17" s="442">
        <f t="shared" si="37"/>
        <v>0.69</v>
      </c>
      <c r="BK17" s="546"/>
      <c r="BL17" s="546"/>
      <c r="BM17" s="450">
        <f t="shared" si="17"/>
        <v>0</v>
      </c>
      <c r="BN17" s="450">
        <f t="shared" si="18"/>
        <v>0</v>
      </c>
      <c r="BO17" s="450">
        <f t="shared" si="19"/>
        <v>0</v>
      </c>
      <c r="BP17" s="450">
        <f t="shared" si="20"/>
        <v>0</v>
      </c>
      <c r="BQ17" s="450">
        <f t="shared" si="38"/>
        <v>6.8417739999999991</v>
      </c>
      <c r="BR17" s="546"/>
      <c r="BS17" s="442">
        <f t="shared" si="39"/>
        <v>0</v>
      </c>
      <c r="BT17" s="442">
        <f t="shared" si="40"/>
        <v>0</v>
      </c>
      <c r="BU17" s="442">
        <f t="shared" si="41"/>
        <v>0</v>
      </c>
      <c r="BV17" s="442">
        <f t="shared" si="42"/>
        <v>0</v>
      </c>
      <c r="BW17" s="442">
        <f t="shared" si="43"/>
        <v>1.2485730000000004</v>
      </c>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row>
    <row r="18" spans="1:123">
      <c r="A18" s="467"/>
      <c r="B18" s="714">
        <v>2</v>
      </c>
      <c r="C18" s="715" t="s">
        <v>97</v>
      </c>
      <c r="D18" s="714" t="s">
        <v>596</v>
      </c>
      <c r="E18" s="716">
        <f>1824+1+1</f>
        <v>1826</v>
      </c>
      <c r="F18" s="717"/>
      <c r="G18" s="717" t="str">
        <f t="shared" si="48"/>
        <v>042431T</v>
      </c>
      <c r="H18" s="847"/>
      <c r="I18" s="546" t="s">
        <v>409</v>
      </c>
      <c r="J18" s="546" t="s">
        <v>108</v>
      </c>
      <c r="K18" s="206" t="s">
        <v>735</v>
      </c>
      <c r="L18" s="445" t="s">
        <v>698</v>
      </c>
      <c r="M18" s="444">
        <f t="shared" si="49"/>
        <v>0</v>
      </c>
      <c r="N18" s="444">
        <f t="shared" si="49"/>
        <v>0</v>
      </c>
      <c r="O18" s="444">
        <f t="shared" si="49"/>
        <v>0</v>
      </c>
      <c r="P18" s="444">
        <f t="shared" si="49"/>
        <v>0</v>
      </c>
      <c r="Q18" s="444">
        <f t="shared" si="49"/>
        <v>0</v>
      </c>
      <c r="R18" s="444">
        <f t="shared" si="24"/>
        <v>1</v>
      </c>
      <c r="S18" s="470">
        <v>0</v>
      </c>
      <c r="T18" s="470"/>
      <c r="U18" s="470">
        <v>0</v>
      </c>
      <c r="V18" s="470">
        <v>0</v>
      </c>
      <c r="W18" s="470">
        <v>6.45</v>
      </c>
      <c r="X18" s="546"/>
      <c r="Y18" s="68">
        <f t="shared" si="25"/>
        <v>0</v>
      </c>
      <c r="Z18" s="68">
        <f t="shared" si="26"/>
        <v>0</v>
      </c>
      <c r="AA18" s="68">
        <f t="shared" si="27"/>
        <v>0</v>
      </c>
      <c r="AB18" s="68">
        <f t="shared" si="28"/>
        <v>0</v>
      </c>
      <c r="AC18" s="68">
        <f t="shared" si="44"/>
        <v>0</v>
      </c>
      <c r="AD18" s="546"/>
      <c r="AE18" s="444">
        <f t="shared" si="50"/>
        <v>0</v>
      </c>
      <c r="AF18" s="444">
        <f t="shared" si="50"/>
        <v>0</v>
      </c>
      <c r="AG18" s="444">
        <f t="shared" si="50"/>
        <v>0</v>
      </c>
      <c r="AH18" s="444">
        <f t="shared" si="50"/>
        <v>0</v>
      </c>
      <c r="AI18" s="444">
        <f t="shared" si="50"/>
        <v>0</v>
      </c>
      <c r="AJ18" s="546"/>
      <c r="AK18" s="449">
        <f t="shared" si="29"/>
        <v>0</v>
      </c>
      <c r="AL18" s="449"/>
      <c r="AM18" s="449">
        <f t="shared" si="30"/>
        <v>0</v>
      </c>
      <c r="AN18" s="449">
        <f t="shared" si="31"/>
        <v>0</v>
      </c>
      <c r="AO18" s="449">
        <f t="shared" si="32"/>
        <v>7.15</v>
      </c>
      <c r="AP18" s="546"/>
      <c r="AQ18" s="68">
        <f t="shared" si="33"/>
        <v>0</v>
      </c>
      <c r="AR18" s="68">
        <f t="shared" si="45"/>
        <v>0</v>
      </c>
      <c r="AS18" s="68">
        <f t="shared" si="34"/>
        <v>0</v>
      </c>
      <c r="AT18" s="68">
        <f t="shared" si="35"/>
        <v>0</v>
      </c>
      <c r="AU18" s="68">
        <f t="shared" si="46"/>
        <v>0</v>
      </c>
      <c r="AV18" s="546"/>
      <c r="AX18" s="454">
        <v>52</v>
      </c>
      <c r="AY18" s="446"/>
      <c r="AZ18" s="446"/>
      <c r="BA18" s="446"/>
      <c r="BB18" s="446"/>
      <c r="BC18" s="446">
        <v>5.928183999999999</v>
      </c>
      <c r="BD18" s="446"/>
      <c r="BE18" s="452">
        <f t="shared" si="36"/>
        <v>0.10999999999999999</v>
      </c>
      <c r="BF18" s="442"/>
      <c r="BG18" s="442"/>
      <c r="BH18" s="442"/>
      <c r="BI18" s="442"/>
      <c r="BJ18" s="442">
        <f t="shared" si="37"/>
        <v>0.73</v>
      </c>
      <c r="BK18" s="546"/>
      <c r="BL18" s="546"/>
      <c r="BM18" s="450">
        <f t="shared" si="17"/>
        <v>0</v>
      </c>
      <c r="BN18" s="450">
        <f t="shared" si="18"/>
        <v>0</v>
      </c>
      <c r="BO18" s="450">
        <f t="shared" si="19"/>
        <v>0</v>
      </c>
      <c r="BP18" s="450">
        <f t="shared" si="20"/>
        <v>0</v>
      </c>
      <c r="BQ18" s="450">
        <f t="shared" si="38"/>
        <v>7.2579649999999996</v>
      </c>
      <c r="BR18" s="546"/>
      <c r="BS18" s="442">
        <f t="shared" si="39"/>
        <v>0</v>
      </c>
      <c r="BT18" s="442">
        <f t="shared" si="40"/>
        <v>0</v>
      </c>
      <c r="BU18" s="442">
        <f t="shared" si="41"/>
        <v>0</v>
      </c>
      <c r="BV18" s="442">
        <f t="shared" si="42"/>
        <v>0</v>
      </c>
      <c r="BW18" s="442">
        <f t="shared" si="43"/>
        <v>1.3297810000000005</v>
      </c>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row>
    <row r="19" spans="1:123">
      <c r="B19" s="714">
        <v>2</v>
      </c>
      <c r="C19" s="715" t="s">
        <v>97</v>
      </c>
      <c r="D19" s="714">
        <v>432</v>
      </c>
      <c r="E19" s="716">
        <v>32</v>
      </c>
      <c r="F19" s="717"/>
      <c r="G19" s="717" t="str">
        <f t="shared" si="48"/>
        <v>042432</v>
      </c>
      <c r="H19" s="271"/>
      <c r="I19" s="546" t="s">
        <v>409</v>
      </c>
      <c r="J19" s="546" t="s">
        <v>108</v>
      </c>
      <c r="K19" s="206" t="s">
        <v>735</v>
      </c>
      <c r="L19" s="445" t="s">
        <v>699</v>
      </c>
      <c r="M19" s="444">
        <f t="shared" si="49"/>
        <v>0</v>
      </c>
      <c r="N19" s="444">
        <f t="shared" si="49"/>
        <v>0</v>
      </c>
      <c r="O19" s="444">
        <f t="shared" si="49"/>
        <v>0</v>
      </c>
      <c r="P19" s="444">
        <f t="shared" si="49"/>
        <v>0</v>
      </c>
      <c r="Q19" s="444">
        <f t="shared" si="49"/>
        <v>0</v>
      </c>
      <c r="R19" s="444">
        <f t="shared" si="24"/>
        <v>1</v>
      </c>
      <c r="S19" s="470">
        <v>0</v>
      </c>
      <c r="T19" s="470"/>
      <c r="U19" s="470">
        <v>0</v>
      </c>
      <c r="V19" s="470">
        <v>0</v>
      </c>
      <c r="W19" s="470">
        <v>6.95</v>
      </c>
      <c r="X19" s="546"/>
      <c r="Y19" s="68">
        <f t="shared" si="25"/>
        <v>0</v>
      </c>
      <c r="Z19" s="68">
        <f t="shared" si="26"/>
        <v>0</v>
      </c>
      <c r="AA19" s="68">
        <f t="shared" si="27"/>
        <v>0</v>
      </c>
      <c r="AB19" s="68">
        <f t="shared" si="28"/>
        <v>0</v>
      </c>
      <c r="AC19" s="68">
        <f t="shared" si="44"/>
        <v>0</v>
      </c>
      <c r="AD19" s="546"/>
      <c r="AE19" s="444">
        <f t="shared" si="50"/>
        <v>0</v>
      </c>
      <c r="AF19" s="444">
        <f t="shared" si="50"/>
        <v>0</v>
      </c>
      <c r="AG19" s="444">
        <f t="shared" si="50"/>
        <v>0</v>
      </c>
      <c r="AH19" s="444">
        <f t="shared" si="50"/>
        <v>0</v>
      </c>
      <c r="AI19" s="444">
        <f t="shared" si="50"/>
        <v>0</v>
      </c>
      <c r="AJ19" s="546"/>
      <c r="AK19" s="449">
        <f t="shared" si="29"/>
        <v>0</v>
      </c>
      <c r="AL19" s="449"/>
      <c r="AM19" s="449">
        <f t="shared" si="30"/>
        <v>0</v>
      </c>
      <c r="AN19" s="449">
        <f t="shared" si="31"/>
        <v>0</v>
      </c>
      <c r="AO19" s="449">
        <f t="shared" si="32"/>
        <v>7.71</v>
      </c>
      <c r="AP19" s="546"/>
      <c r="AQ19" s="68">
        <f t="shared" si="33"/>
        <v>0</v>
      </c>
      <c r="AR19" s="68">
        <f t="shared" si="45"/>
        <v>0</v>
      </c>
      <c r="AS19" s="68">
        <f t="shared" si="34"/>
        <v>0</v>
      </c>
      <c r="AT19" s="68">
        <f t="shared" si="35"/>
        <v>0</v>
      </c>
      <c r="AU19" s="68">
        <f t="shared" si="46"/>
        <v>0</v>
      </c>
      <c r="AV19" s="546"/>
      <c r="AX19" s="454">
        <v>56</v>
      </c>
      <c r="AY19" s="446"/>
      <c r="AZ19" s="446"/>
      <c r="BA19" s="446"/>
      <c r="BB19" s="446"/>
      <c r="BC19" s="446">
        <v>6.3849789999999995</v>
      </c>
      <c r="BD19" s="446"/>
      <c r="BE19" s="452">
        <f t="shared" si="36"/>
        <v>0.12</v>
      </c>
      <c r="BF19" s="442"/>
      <c r="BG19" s="442"/>
      <c r="BH19" s="442"/>
      <c r="BI19" s="442"/>
      <c r="BJ19" s="442">
        <f t="shared" si="37"/>
        <v>0.79</v>
      </c>
      <c r="BK19" s="546"/>
      <c r="BL19" s="546"/>
      <c r="BM19" s="450">
        <f t="shared" si="17"/>
        <v>0</v>
      </c>
      <c r="BN19" s="450">
        <f t="shared" si="18"/>
        <v>0</v>
      </c>
      <c r="BO19" s="450">
        <f t="shared" si="19"/>
        <v>0</v>
      </c>
      <c r="BP19" s="450">
        <f t="shared" si="20"/>
        <v>0</v>
      </c>
      <c r="BQ19" s="450">
        <f t="shared" si="38"/>
        <v>7.826420999999999</v>
      </c>
      <c r="BR19" s="546"/>
      <c r="BS19" s="442">
        <f t="shared" si="39"/>
        <v>0</v>
      </c>
      <c r="BT19" s="442">
        <f t="shared" si="40"/>
        <v>0</v>
      </c>
      <c r="BU19" s="442">
        <f t="shared" si="41"/>
        <v>0</v>
      </c>
      <c r="BV19" s="442">
        <f t="shared" si="42"/>
        <v>0</v>
      </c>
      <c r="BW19" s="442">
        <f t="shared" si="43"/>
        <v>1.4414419999999994</v>
      </c>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row>
    <row r="20" spans="1:123">
      <c r="A20" s="486"/>
      <c r="B20" s="714">
        <v>2</v>
      </c>
      <c r="C20" s="715" t="s">
        <v>97</v>
      </c>
      <c r="D20" s="714" t="s">
        <v>494</v>
      </c>
      <c r="E20" s="716">
        <v>163</v>
      </c>
      <c r="F20" s="717"/>
      <c r="G20" s="717" t="str">
        <f t="shared" si="48"/>
        <v>042432L</v>
      </c>
      <c r="H20" s="271"/>
      <c r="I20" s="546" t="s">
        <v>409</v>
      </c>
      <c r="J20" s="546" t="s">
        <v>108</v>
      </c>
      <c r="K20" s="206" t="s">
        <v>735</v>
      </c>
      <c r="L20" s="445" t="s">
        <v>700</v>
      </c>
      <c r="M20" s="444">
        <f t="shared" si="49"/>
        <v>0</v>
      </c>
      <c r="N20" s="444">
        <f t="shared" si="49"/>
        <v>0</v>
      </c>
      <c r="O20" s="444">
        <f t="shared" si="49"/>
        <v>0</v>
      </c>
      <c r="P20" s="444">
        <f t="shared" si="49"/>
        <v>0</v>
      </c>
      <c r="Q20" s="444">
        <f t="shared" si="49"/>
        <v>2</v>
      </c>
      <c r="R20" s="444">
        <f t="shared" si="24"/>
        <v>0</v>
      </c>
      <c r="S20" s="470">
        <v>0</v>
      </c>
      <c r="T20" s="470"/>
      <c r="U20" s="470">
        <v>0</v>
      </c>
      <c r="V20" s="470">
        <v>0</v>
      </c>
      <c r="W20" s="470">
        <v>7.32</v>
      </c>
      <c r="X20" s="546"/>
      <c r="Y20" s="68">
        <f t="shared" si="25"/>
        <v>0</v>
      </c>
      <c r="Z20" s="68">
        <f t="shared" si="26"/>
        <v>0</v>
      </c>
      <c r="AA20" s="68">
        <f t="shared" si="27"/>
        <v>0</v>
      </c>
      <c r="AB20" s="68">
        <f t="shared" si="28"/>
        <v>0</v>
      </c>
      <c r="AC20" s="68">
        <f t="shared" si="44"/>
        <v>14.64</v>
      </c>
      <c r="AD20" s="546"/>
      <c r="AE20" s="444">
        <f t="shared" si="50"/>
        <v>0</v>
      </c>
      <c r="AF20" s="444">
        <f t="shared" si="50"/>
        <v>0</v>
      </c>
      <c r="AG20" s="444">
        <f t="shared" si="50"/>
        <v>0</v>
      </c>
      <c r="AH20" s="444">
        <f t="shared" si="50"/>
        <v>0</v>
      </c>
      <c r="AI20" s="444">
        <f t="shared" si="50"/>
        <v>2</v>
      </c>
      <c r="AJ20" s="546"/>
      <c r="AK20" s="449">
        <f t="shared" si="29"/>
        <v>0</v>
      </c>
      <c r="AL20" s="449"/>
      <c r="AM20" s="449">
        <f t="shared" si="30"/>
        <v>0</v>
      </c>
      <c r="AN20" s="449">
        <f t="shared" si="31"/>
        <v>0</v>
      </c>
      <c r="AO20" s="449">
        <f t="shared" si="32"/>
        <v>8.1199999999999992</v>
      </c>
      <c r="AP20" s="546"/>
      <c r="AQ20" s="68">
        <f t="shared" si="33"/>
        <v>0</v>
      </c>
      <c r="AR20" s="68">
        <f t="shared" si="45"/>
        <v>0</v>
      </c>
      <c r="AS20" s="68">
        <f t="shared" si="34"/>
        <v>0</v>
      </c>
      <c r="AT20" s="68">
        <f t="shared" si="35"/>
        <v>0</v>
      </c>
      <c r="AU20" s="68">
        <f t="shared" si="46"/>
        <v>16.239999999999998</v>
      </c>
      <c r="AV20" s="546"/>
      <c r="AX20" s="454">
        <v>59</v>
      </c>
      <c r="AY20" s="446"/>
      <c r="AZ20" s="446"/>
      <c r="BA20" s="446"/>
      <c r="BB20" s="446"/>
      <c r="BC20" s="446">
        <v>6.7199619999999998</v>
      </c>
      <c r="BD20" s="446"/>
      <c r="BE20" s="452">
        <f t="shared" si="36"/>
        <v>0.13</v>
      </c>
      <c r="BF20" s="442"/>
      <c r="BG20" s="442"/>
      <c r="BH20" s="442"/>
      <c r="BI20" s="442"/>
      <c r="BJ20" s="442">
        <f t="shared" si="37"/>
        <v>0.84</v>
      </c>
      <c r="BK20" s="546"/>
      <c r="BL20" s="546"/>
      <c r="BM20" s="450">
        <f t="shared" si="17"/>
        <v>0</v>
      </c>
      <c r="BN20" s="450">
        <f t="shared" si="18"/>
        <v>0</v>
      </c>
      <c r="BO20" s="450">
        <f t="shared" si="19"/>
        <v>0</v>
      </c>
      <c r="BP20" s="450">
        <f t="shared" si="20"/>
        <v>0</v>
      </c>
      <c r="BQ20" s="450">
        <f t="shared" si="38"/>
        <v>8.2426119999999976</v>
      </c>
      <c r="BR20" s="546"/>
      <c r="BS20" s="442">
        <f t="shared" si="39"/>
        <v>0</v>
      </c>
      <c r="BT20" s="442">
        <f t="shared" si="40"/>
        <v>0</v>
      </c>
      <c r="BU20" s="442">
        <f t="shared" si="41"/>
        <v>0</v>
      </c>
      <c r="BV20" s="442">
        <f t="shared" si="42"/>
        <v>0</v>
      </c>
      <c r="BW20" s="442">
        <f t="shared" si="43"/>
        <v>1.5226499999999978</v>
      </c>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row>
    <row r="21" spans="1:123">
      <c r="A21" s="485"/>
      <c r="B21" s="714">
        <v>2</v>
      </c>
      <c r="C21" s="715" t="s">
        <v>97</v>
      </c>
      <c r="D21" s="714" t="s">
        <v>598</v>
      </c>
      <c r="E21" s="716">
        <v>28</v>
      </c>
      <c r="F21" s="717"/>
      <c r="G21" s="717" t="str">
        <f t="shared" si="48"/>
        <v>042432T</v>
      </c>
      <c r="H21" s="271"/>
      <c r="I21" s="546" t="s">
        <v>409</v>
      </c>
      <c r="J21" s="546" t="s">
        <v>108</v>
      </c>
      <c r="K21" s="206" t="s">
        <v>735</v>
      </c>
      <c r="L21" s="445" t="s">
        <v>701</v>
      </c>
      <c r="M21" s="444">
        <f t="shared" si="49"/>
        <v>0</v>
      </c>
      <c r="N21" s="444">
        <f t="shared" si="49"/>
        <v>0</v>
      </c>
      <c r="O21" s="444">
        <f t="shared" si="49"/>
        <v>0</v>
      </c>
      <c r="P21" s="444">
        <f t="shared" si="49"/>
        <v>0</v>
      </c>
      <c r="Q21" s="444">
        <f t="shared" si="49"/>
        <v>0</v>
      </c>
      <c r="R21" s="444">
        <f t="shared" si="24"/>
        <v>1</v>
      </c>
      <c r="S21" s="470">
        <v>0</v>
      </c>
      <c r="T21" s="470"/>
      <c r="U21" s="470">
        <v>0</v>
      </c>
      <c r="V21" s="470">
        <v>0</v>
      </c>
      <c r="W21" s="470">
        <v>7.81</v>
      </c>
      <c r="X21" s="546"/>
      <c r="Y21" s="68">
        <f t="shared" si="25"/>
        <v>0</v>
      </c>
      <c r="Z21" s="68">
        <f t="shared" si="26"/>
        <v>0</v>
      </c>
      <c r="AA21" s="68">
        <f t="shared" si="27"/>
        <v>0</v>
      </c>
      <c r="AB21" s="68">
        <f t="shared" si="28"/>
        <v>0</v>
      </c>
      <c r="AC21" s="68">
        <f t="shared" si="44"/>
        <v>0</v>
      </c>
      <c r="AD21" s="546"/>
      <c r="AE21" s="444">
        <f t="shared" si="50"/>
        <v>0</v>
      </c>
      <c r="AF21" s="444">
        <f t="shared" si="50"/>
        <v>0</v>
      </c>
      <c r="AG21" s="444">
        <f t="shared" si="50"/>
        <v>0</v>
      </c>
      <c r="AH21" s="444">
        <f t="shared" si="50"/>
        <v>0</v>
      </c>
      <c r="AI21" s="444">
        <f t="shared" si="50"/>
        <v>0</v>
      </c>
      <c r="AJ21" s="546"/>
      <c r="AK21" s="449">
        <f t="shared" si="29"/>
        <v>0</v>
      </c>
      <c r="AL21" s="449"/>
      <c r="AM21" s="449">
        <f t="shared" si="30"/>
        <v>0</v>
      </c>
      <c r="AN21" s="449">
        <f t="shared" si="31"/>
        <v>0</v>
      </c>
      <c r="AO21" s="449">
        <f t="shared" si="32"/>
        <v>8.66</v>
      </c>
      <c r="AP21" s="546"/>
      <c r="AQ21" s="68">
        <f t="shared" si="33"/>
        <v>0</v>
      </c>
      <c r="AR21" s="68">
        <f t="shared" si="45"/>
        <v>0</v>
      </c>
      <c r="AS21" s="68">
        <f t="shared" si="34"/>
        <v>0</v>
      </c>
      <c r="AT21" s="68">
        <f t="shared" si="35"/>
        <v>0</v>
      </c>
      <c r="AU21" s="68">
        <f t="shared" si="46"/>
        <v>0</v>
      </c>
      <c r="AV21" s="546"/>
      <c r="AX21" s="454">
        <v>63</v>
      </c>
      <c r="AY21" s="446"/>
      <c r="AZ21" s="446"/>
      <c r="BA21" s="446"/>
      <c r="BB21" s="446"/>
      <c r="BC21" s="446">
        <v>7.186907999999999</v>
      </c>
      <c r="BD21" s="446"/>
      <c r="BE21" s="452">
        <f t="shared" si="36"/>
        <v>0.14000000000000001</v>
      </c>
      <c r="BF21" s="442"/>
      <c r="BG21" s="442"/>
      <c r="BH21" s="442"/>
      <c r="BI21" s="442"/>
      <c r="BJ21" s="442">
        <f t="shared" si="37"/>
        <v>0.88</v>
      </c>
      <c r="BK21" s="546"/>
      <c r="BL21" s="546"/>
      <c r="BM21" s="450">
        <f t="shared" si="17"/>
        <v>0</v>
      </c>
      <c r="BN21" s="450">
        <f t="shared" si="18"/>
        <v>0</v>
      </c>
      <c r="BO21" s="450">
        <f t="shared" si="19"/>
        <v>0</v>
      </c>
      <c r="BP21" s="450">
        <f t="shared" si="20"/>
        <v>0</v>
      </c>
      <c r="BQ21" s="450">
        <f t="shared" si="38"/>
        <v>8.7907659999999996</v>
      </c>
      <c r="BR21" s="546"/>
      <c r="BS21" s="442">
        <f t="shared" si="39"/>
        <v>0</v>
      </c>
      <c r="BT21" s="442">
        <f t="shared" si="40"/>
        <v>0</v>
      </c>
      <c r="BU21" s="442">
        <f t="shared" si="41"/>
        <v>0</v>
      </c>
      <c r="BV21" s="442">
        <f t="shared" si="42"/>
        <v>0</v>
      </c>
      <c r="BW21" s="442">
        <f t="shared" si="43"/>
        <v>1.6038580000000007</v>
      </c>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row>
    <row r="22" spans="1:123">
      <c r="B22" s="714">
        <v>2</v>
      </c>
      <c r="C22" s="715" t="s">
        <v>97</v>
      </c>
      <c r="D22" s="714">
        <v>433</v>
      </c>
      <c r="E22" s="716">
        <v>7</v>
      </c>
      <c r="F22" s="717"/>
      <c r="G22" s="717" t="str">
        <f t="shared" si="48"/>
        <v>042433</v>
      </c>
      <c r="H22" s="271"/>
      <c r="I22" s="546" t="s">
        <v>409</v>
      </c>
      <c r="J22" s="546" t="s">
        <v>108</v>
      </c>
      <c r="K22" s="206" t="s">
        <v>735</v>
      </c>
      <c r="L22" s="445" t="s">
        <v>702</v>
      </c>
      <c r="M22" s="444">
        <f t="shared" si="49"/>
        <v>0</v>
      </c>
      <c r="N22" s="444">
        <f t="shared" si="49"/>
        <v>0</v>
      </c>
      <c r="O22" s="444">
        <f t="shared" si="49"/>
        <v>0</v>
      </c>
      <c r="P22" s="444">
        <f t="shared" si="49"/>
        <v>0</v>
      </c>
      <c r="Q22" s="444">
        <f t="shared" si="49"/>
        <v>0</v>
      </c>
      <c r="R22" s="444">
        <f t="shared" si="24"/>
        <v>1</v>
      </c>
      <c r="S22" s="470">
        <v>0</v>
      </c>
      <c r="T22" s="470"/>
      <c r="U22" s="470">
        <v>0</v>
      </c>
      <c r="V22" s="470">
        <v>0</v>
      </c>
      <c r="W22" s="470">
        <v>8.3000000000000007</v>
      </c>
      <c r="X22" s="546"/>
      <c r="Y22" s="68">
        <f t="shared" si="25"/>
        <v>0</v>
      </c>
      <c r="Z22" s="68">
        <f t="shared" si="26"/>
        <v>0</v>
      </c>
      <c r="AA22" s="68">
        <f t="shared" si="27"/>
        <v>0</v>
      </c>
      <c r="AB22" s="68">
        <f t="shared" si="28"/>
        <v>0</v>
      </c>
      <c r="AC22" s="68">
        <f t="shared" si="44"/>
        <v>0</v>
      </c>
      <c r="AD22" s="546"/>
      <c r="AE22" s="444">
        <f t="shared" si="50"/>
        <v>0</v>
      </c>
      <c r="AF22" s="444">
        <f t="shared" si="50"/>
        <v>0</v>
      </c>
      <c r="AG22" s="444">
        <f t="shared" si="50"/>
        <v>0</v>
      </c>
      <c r="AH22" s="444">
        <f t="shared" si="50"/>
        <v>0</v>
      </c>
      <c r="AI22" s="444">
        <f t="shared" si="50"/>
        <v>0</v>
      </c>
      <c r="AJ22" s="546"/>
      <c r="AK22" s="449">
        <f t="shared" si="29"/>
        <v>0</v>
      </c>
      <c r="AL22" s="449"/>
      <c r="AM22" s="449">
        <f t="shared" si="30"/>
        <v>0</v>
      </c>
      <c r="AN22" s="449">
        <f t="shared" si="31"/>
        <v>0</v>
      </c>
      <c r="AO22" s="449">
        <f t="shared" si="32"/>
        <v>9.2100000000000009</v>
      </c>
      <c r="AP22" s="546"/>
      <c r="AQ22" s="68">
        <f t="shared" si="33"/>
        <v>0</v>
      </c>
      <c r="AR22" s="68">
        <f t="shared" si="45"/>
        <v>0</v>
      </c>
      <c r="AS22" s="68">
        <f t="shared" si="34"/>
        <v>0</v>
      </c>
      <c r="AT22" s="68">
        <f t="shared" si="35"/>
        <v>0</v>
      </c>
      <c r="AU22" s="68">
        <f t="shared" si="46"/>
        <v>0</v>
      </c>
      <c r="AV22" s="546"/>
      <c r="AX22" s="454">
        <v>67</v>
      </c>
      <c r="AY22" s="446"/>
      <c r="AZ22" s="446"/>
      <c r="BA22" s="446"/>
      <c r="BB22" s="446"/>
      <c r="BC22" s="446">
        <v>7.633551999999999</v>
      </c>
      <c r="BD22" s="446"/>
      <c r="BE22" s="452">
        <f t="shared" si="36"/>
        <v>0.14000000000000001</v>
      </c>
      <c r="BF22" s="442"/>
      <c r="BG22" s="442"/>
      <c r="BH22" s="442"/>
      <c r="BI22" s="442"/>
      <c r="BJ22" s="442">
        <f t="shared" si="37"/>
        <v>0.93</v>
      </c>
      <c r="BK22" s="546"/>
      <c r="BL22" s="546"/>
      <c r="BM22" s="450">
        <f t="shared" si="17"/>
        <v>0</v>
      </c>
      <c r="BN22" s="450">
        <f t="shared" si="18"/>
        <v>0</v>
      </c>
      <c r="BO22" s="450">
        <f t="shared" si="19"/>
        <v>0</v>
      </c>
      <c r="BP22" s="450">
        <f t="shared" si="20"/>
        <v>0</v>
      </c>
      <c r="BQ22" s="450">
        <f t="shared" si="38"/>
        <v>9.3490710000000004</v>
      </c>
      <c r="BR22" s="546"/>
      <c r="BS22" s="442">
        <f t="shared" si="39"/>
        <v>0</v>
      </c>
      <c r="BT22" s="442">
        <f t="shared" si="40"/>
        <v>0</v>
      </c>
      <c r="BU22" s="442">
        <f t="shared" si="41"/>
        <v>0</v>
      </c>
      <c r="BV22" s="442">
        <f t="shared" si="42"/>
        <v>0</v>
      </c>
      <c r="BW22" s="442">
        <f t="shared" si="43"/>
        <v>1.7155190000000013</v>
      </c>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row>
    <row r="23" spans="1:123">
      <c r="A23" s="486"/>
      <c r="B23" s="714">
        <v>2</v>
      </c>
      <c r="C23" s="715" t="s">
        <v>97</v>
      </c>
      <c r="D23" s="714" t="s">
        <v>495</v>
      </c>
      <c r="E23" s="716">
        <v>73</v>
      </c>
      <c r="F23" s="717"/>
      <c r="G23" s="717" t="str">
        <f t="shared" si="48"/>
        <v>042433L</v>
      </c>
      <c r="H23" s="271"/>
      <c r="I23" s="546" t="s">
        <v>409</v>
      </c>
      <c r="J23" s="546" t="s">
        <v>108</v>
      </c>
      <c r="K23" s="206" t="s">
        <v>735</v>
      </c>
      <c r="L23" s="445" t="s">
        <v>703</v>
      </c>
      <c r="M23" s="444">
        <f t="shared" si="49"/>
        <v>0</v>
      </c>
      <c r="N23" s="444">
        <f t="shared" si="49"/>
        <v>0</v>
      </c>
      <c r="O23" s="444">
        <f t="shared" si="49"/>
        <v>0</v>
      </c>
      <c r="P23" s="444">
        <f t="shared" si="49"/>
        <v>0</v>
      </c>
      <c r="Q23" s="444">
        <f t="shared" si="49"/>
        <v>0</v>
      </c>
      <c r="R23" s="444">
        <f t="shared" si="24"/>
        <v>1</v>
      </c>
      <c r="S23" s="470">
        <v>0</v>
      </c>
      <c r="T23" s="470"/>
      <c r="U23" s="470">
        <v>0</v>
      </c>
      <c r="V23" s="470">
        <v>0</v>
      </c>
      <c r="W23" s="470">
        <v>8.68</v>
      </c>
      <c r="X23" s="546"/>
      <c r="Y23" s="68">
        <f t="shared" si="25"/>
        <v>0</v>
      </c>
      <c r="Z23" s="68">
        <f t="shared" si="26"/>
        <v>0</v>
      </c>
      <c r="AA23" s="68">
        <f t="shared" si="27"/>
        <v>0</v>
      </c>
      <c r="AB23" s="68">
        <f t="shared" si="28"/>
        <v>0</v>
      </c>
      <c r="AC23" s="68">
        <f t="shared" si="44"/>
        <v>0</v>
      </c>
      <c r="AD23" s="546"/>
      <c r="AE23" s="444">
        <f t="shared" si="50"/>
        <v>0</v>
      </c>
      <c r="AF23" s="444">
        <f t="shared" si="50"/>
        <v>0</v>
      </c>
      <c r="AG23" s="444">
        <f t="shared" si="50"/>
        <v>0</v>
      </c>
      <c r="AH23" s="444">
        <f t="shared" si="50"/>
        <v>0</v>
      </c>
      <c r="AI23" s="444">
        <f t="shared" si="50"/>
        <v>0</v>
      </c>
      <c r="AJ23" s="546"/>
      <c r="AK23" s="449">
        <f t="shared" si="29"/>
        <v>0</v>
      </c>
      <c r="AL23" s="449"/>
      <c r="AM23" s="449">
        <f t="shared" si="30"/>
        <v>0</v>
      </c>
      <c r="AN23" s="449">
        <f t="shared" si="31"/>
        <v>0</v>
      </c>
      <c r="AO23" s="449">
        <f t="shared" si="32"/>
        <v>9.6300000000000008</v>
      </c>
      <c r="AP23" s="546"/>
      <c r="AQ23" s="68">
        <f t="shared" si="33"/>
        <v>0</v>
      </c>
      <c r="AR23" s="68">
        <f t="shared" si="45"/>
        <v>0</v>
      </c>
      <c r="AS23" s="68">
        <f t="shared" si="34"/>
        <v>0</v>
      </c>
      <c r="AT23" s="68">
        <f t="shared" si="35"/>
        <v>0</v>
      </c>
      <c r="AU23" s="68">
        <f t="shared" si="46"/>
        <v>0</v>
      </c>
      <c r="AV23" s="546"/>
      <c r="AX23" s="454">
        <v>70</v>
      </c>
      <c r="AY23" s="446"/>
      <c r="AZ23" s="446"/>
      <c r="BA23" s="446"/>
      <c r="BB23" s="446"/>
      <c r="BC23" s="446">
        <v>7.9786859999999997</v>
      </c>
      <c r="BD23" s="446"/>
      <c r="BE23" s="452">
        <f t="shared" si="36"/>
        <v>0.16000000000000003</v>
      </c>
      <c r="BF23" s="442"/>
      <c r="BG23" s="442"/>
      <c r="BH23" s="442"/>
      <c r="BI23" s="442"/>
      <c r="BJ23" s="442">
        <f t="shared" si="37"/>
        <v>0.99</v>
      </c>
      <c r="BK23" s="546"/>
      <c r="BL23" s="546"/>
      <c r="BM23" s="450">
        <f t="shared" si="17"/>
        <v>0</v>
      </c>
      <c r="BN23" s="450">
        <f t="shared" si="18"/>
        <v>0</v>
      </c>
      <c r="BO23" s="450">
        <f t="shared" si="19"/>
        <v>0</v>
      </c>
      <c r="BP23" s="450">
        <f t="shared" si="20"/>
        <v>0</v>
      </c>
      <c r="BQ23" s="450">
        <f t="shared" si="38"/>
        <v>9.7754130000000004</v>
      </c>
      <c r="BR23" s="546"/>
      <c r="BS23" s="442">
        <f t="shared" si="39"/>
        <v>0</v>
      </c>
      <c r="BT23" s="442">
        <f t="shared" si="40"/>
        <v>0</v>
      </c>
      <c r="BU23" s="442">
        <f t="shared" si="41"/>
        <v>0</v>
      </c>
      <c r="BV23" s="442">
        <f t="shared" si="42"/>
        <v>0</v>
      </c>
      <c r="BW23" s="442">
        <f t="shared" si="43"/>
        <v>1.7967270000000006</v>
      </c>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row>
    <row r="24" spans="1:123">
      <c r="A24" s="485"/>
      <c r="B24" s="714">
        <v>2</v>
      </c>
      <c r="C24" s="715" t="s">
        <v>97</v>
      </c>
      <c r="D24" s="714" t="s">
        <v>599</v>
      </c>
      <c r="E24" s="716">
        <v>67</v>
      </c>
      <c r="F24" s="717"/>
      <c r="G24" s="717" t="str">
        <f t="shared" si="48"/>
        <v>042433T</v>
      </c>
      <c r="H24" s="271"/>
      <c r="I24" s="546" t="s">
        <v>409</v>
      </c>
      <c r="J24" s="546" t="s">
        <v>108</v>
      </c>
      <c r="K24" s="206" t="s">
        <v>735</v>
      </c>
      <c r="L24" s="445" t="s">
        <v>704</v>
      </c>
      <c r="M24" s="444">
        <f t="shared" ref="M24:Q33" si="51">SUMIF($G:$G,TEXT(M$3,"000")&amp;TEXT($L24,"000"),$E:$E)</f>
        <v>0</v>
      </c>
      <c r="N24" s="444">
        <f t="shared" si="51"/>
        <v>0</v>
      </c>
      <c r="O24" s="444">
        <f t="shared" si="51"/>
        <v>0</v>
      </c>
      <c r="P24" s="444">
        <f t="shared" si="51"/>
        <v>0</v>
      </c>
      <c r="Q24" s="444">
        <f t="shared" si="51"/>
        <v>19</v>
      </c>
      <c r="R24" s="444">
        <f t="shared" si="24"/>
        <v>0</v>
      </c>
      <c r="S24" s="470">
        <v>0</v>
      </c>
      <c r="T24" s="470"/>
      <c r="U24" s="470">
        <v>0</v>
      </c>
      <c r="V24" s="470">
        <v>0</v>
      </c>
      <c r="W24" s="470">
        <v>9.5500000000000007</v>
      </c>
      <c r="X24" s="546"/>
      <c r="Y24" s="68">
        <f t="shared" si="25"/>
        <v>0</v>
      </c>
      <c r="Z24" s="68">
        <f t="shared" si="26"/>
        <v>0</v>
      </c>
      <c r="AA24" s="68">
        <f t="shared" si="27"/>
        <v>0</v>
      </c>
      <c r="AB24" s="68">
        <f t="shared" si="28"/>
        <v>0</v>
      </c>
      <c r="AC24" s="68">
        <f t="shared" si="44"/>
        <v>181.45000000000002</v>
      </c>
      <c r="AD24" s="546"/>
      <c r="AE24" s="444">
        <f t="shared" si="50"/>
        <v>0</v>
      </c>
      <c r="AF24" s="444">
        <f t="shared" si="50"/>
        <v>0</v>
      </c>
      <c r="AG24" s="444">
        <f t="shared" si="50"/>
        <v>0</v>
      </c>
      <c r="AH24" s="444">
        <f t="shared" si="50"/>
        <v>0</v>
      </c>
      <c r="AI24" s="444">
        <f t="shared" si="50"/>
        <v>19</v>
      </c>
      <c r="AJ24" s="546"/>
      <c r="AK24" s="449">
        <f t="shared" si="29"/>
        <v>0</v>
      </c>
      <c r="AL24" s="449"/>
      <c r="AM24" s="449">
        <f t="shared" si="30"/>
        <v>0</v>
      </c>
      <c r="AN24" s="449">
        <f t="shared" si="31"/>
        <v>0</v>
      </c>
      <c r="AO24" s="449">
        <f t="shared" si="32"/>
        <v>10.59</v>
      </c>
      <c r="AP24" s="546"/>
      <c r="AQ24" s="68">
        <f t="shared" si="33"/>
        <v>0</v>
      </c>
      <c r="AR24" s="68">
        <f t="shared" si="45"/>
        <v>0</v>
      </c>
      <c r="AS24" s="68">
        <f t="shared" si="34"/>
        <v>0</v>
      </c>
      <c r="AT24" s="68">
        <f t="shared" si="35"/>
        <v>0</v>
      </c>
      <c r="AU24" s="68">
        <f t="shared" si="46"/>
        <v>201.21</v>
      </c>
      <c r="AV24" s="546"/>
      <c r="AX24" s="454">
        <v>77</v>
      </c>
      <c r="AY24" s="446"/>
      <c r="AZ24" s="446"/>
      <c r="BA24" s="446"/>
      <c r="BB24" s="446"/>
      <c r="BC24" s="446">
        <v>8.7806149999999992</v>
      </c>
      <c r="BD24" s="446"/>
      <c r="BE24" s="452">
        <f t="shared" si="36"/>
        <v>0.17000000000000004</v>
      </c>
      <c r="BF24" s="442"/>
      <c r="BG24" s="442"/>
      <c r="BH24" s="442"/>
      <c r="BI24" s="442"/>
      <c r="BJ24" s="442">
        <f t="shared" si="37"/>
        <v>1.08</v>
      </c>
      <c r="BK24" s="546"/>
      <c r="BL24" s="546"/>
      <c r="BM24" s="450">
        <f t="shared" si="17"/>
        <v>0</v>
      </c>
      <c r="BN24" s="450">
        <f t="shared" si="18"/>
        <v>0</v>
      </c>
      <c r="BO24" s="450">
        <f t="shared" si="19"/>
        <v>0</v>
      </c>
      <c r="BP24" s="450">
        <f t="shared" si="20"/>
        <v>0</v>
      </c>
      <c r="BQ24" s="450">
        <f t="shared" si="38"/>
        <v>10.749908999999999</v>
      </c>
      <c r="BR24" s="546"/>
      <c r="BS24" s="442">
        <f t="shared" si="39"/>
        <v>0</v>
      </c>
      <c r="BT24" s="442">
        <f t="shared" si="40"/>
        <v>0</v>
      </c>
      <c r="BU24" s="442">
        <f t="shared" si="41"/>
        <v>0</v>
      </c>
      <c r="BV24" s="442">
        <f t="shared" si="42"/>
        <v>0</v>
      </c>
      <c r="BW24" s="442">
        <f t="shared" si="43"/>
        <v>1.9692939999999997</v>
      </c>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row>
    <row r="25" spans="1:123">
      <c r="B25" s="714">
        <v>2</v>
      </c>
      <c r="C25" s="715" t="s">
        <v>97</v>
      </c>
      <c r="D25" s="714">
        <v>434</v>
      </c>
      <c r="E25" s="716">
        <v>1085</v>
      </c>
      <c r="F25" s="717"/>
      <c r="G25" s="717" t="str">
        <f t="shared" si="48"/>
        <v>042434</v>
      </c>
      <c r="H25" s="271"/>
      <c r="I25" s="546" t="s">
        <v>409</v>
      </c>
      <c r="J25" s="546" t="s">
        <v>108</v>
      </c>
      <c r="K25" s="206" t="s">
        <v>735</v>
      </c>
      <c r="L25" s="445" t="s">
        <v>705</v>
      </c>
      <c r="M25" s="444">
        <f t="shared" si="51"/>
        <v>0</v>
      </c>
      <c r="N25" s="444">
        <f t="shared" si="51"/>
        <v>0</v>
      </c>
      <c r="O25" s="444">
        <f t="shared" si="51"/>
        <v>0</v>
      </c>
      <c r="P25" s="444">
        <f t="shared" si="51"/>
        <v>0</v>
      </c>
      <c r="Q25" s="444">
        <f t="shared" si="51"/>
        <v>60</v>
      </c>
      <c r="R25" s="444">
        <f t="shared" si="24"/>
        <v>0</v>
      </c>
      <c r="S25" s="470">
        <v>0</v>
      </c>
      <c r="T25" s="470"/>
      <c r="U25" s="470">
        <v>0</v>
      </c>
      <c r="V25" s="470">
        <v>0</v>
      </c>
      <c r="W25" s="470">
        <v>10.66</v>
      </c>
      <c r="X25" s="546"/>
      <c r="Y25" s="68">
        <f t="shared" si="25"/>
        <v>0</v>
      </c>
      <c r="Z25" s="68">
        <f t="shared" si="26"/>
        <v>0</v>
      </c>
      <c r="AA25" s="696">
        <f>IF(AND(O25&lt;&gt;0,U25=0),#VALUE!,O25*U25)</f>
        <v>0</v>
      </c>
      <c r="AB25" s="68">
        <f t="shared" si="28"/>
        <v>0</v>
      </c>
      <c r="AC25" s="68">
        <f>IF(AND(Q25&lt;&gt;0,W25=0),#VALUE!,Q25*W25)</f>
        <v>639.6</v>
      </c>
      <c r="AD25" s="546"/>
      <c r="AE25" s="444">
        <f t="shared" si="50"/>
        <v>0</v>
      </c>
      <c r="AF25" s="444">
        <f t="shared" si="50"/>
        <v>0</v>
      </c>
      <c r="AG25" s="444">
        <f t="shared" si="50"/>
        <v>0</v>
      </c>
      <c r="AH25" s="444">
        <f t="shared" si="50"/>
        <v>0</v>
      </c>
      <c r="AI25" s="444">
        <f t="shared" si="50"/>
        <v>60</v>
      </c>
      <c r="AJ25" s="546"/>
      <c r="AK25" s="449">
        <f t="shared" si="29"/>
        <v>0</v>
      </c>
      <c r="AL25" s="449"/>
      <c r="AM25" s="449">
        <f t="shared" si="30"/>
        <v>0</v>
      </c>
      <c r="AN25" s="449">
        <f t="shared" si="31"/>
        <v>0</v>
      </c>
      <c r="AO25" s="449">
        <f>ROUND(W25*(1+AO$1),2)</f>
        <v>11.82</v>
      </c>
      <c r="AP25" s="546"/>
      <c r="AQ25" s="68">
        <f t="shared" si="33"/>
        <v>0</v>
      </c>
      <c r="AR25" s="68">
        <f t="shared" si="45"/>
        <v>0</v>
      </c>
      <c r="AS25" s="68">
        <f t="shared" si="34"/>
        <v>0</v>
      </c>
      <c r="AT25" s="68">
        <f t="shared" si="35"/>
        <v>0</v>
      </c>
      <c r="AU25" s="68">
        <f>IF(AND(AI25&lt;&gt;0,AO25=0),#VALUE!,AI25*AO25)</f>
        <v>709.2</v>
      </c>
      <c r="AV25" s="546"/>
      <c r="AX25" s="454">
        <v>86</v>
      </c>
      <c r="AY25" s="446"/>
      <c r="AZ25" s="446"/>
      <c r="BA25" s="446"/>
      <c r="BB25" s="446"/>
      <c r="BC25" s="446">
        <v>9.805866</v>
      </c>
      <c r="BD25" s="446"/>
      <c r="BE25" s="452">
        <f t="shared" si="36"/>
        <v>0.18999999999999995</v>
      </c>
      <c r="BF25" s="442"/>
      <c r="BG25" s="442"/>
      <c r="BH25" s="442"/>
      <c r="BI25" s="442"/>
      <c r="BJ25" s="442">
        <f t="shared" si="37"/>
        <v>1.21</v>
      </c>
      <c r="BK25" s="546"/>
      <c r="BL25" s="546"/>
      <c r="BM25" s="450">
        <f t="shared" si="17"/>
        <v>0</v>
      </c>
      <c r="BN25" s="450">
        <f t="shared" si="18"/>
        <v>0</v>
      </c>
      <c r="BO25" s="450">
        <f t="shared" si="19"/>
        <v>0</v>
      </c>
      <c r="BP25" s="450">
        <f t="shared" si="20"/>
        <v>0</v>
      </c>
      <c r="BQ25" s="450">
        <f t="shared" si="38"/>
        <v>11.998481999999999</v>
      </c>
      <c r="BR25" s="546"/>
      <c r="BS25" s="442">
        <f t="shared" si="39"/>
        <v>0</v>
      </c>
      <c r="BT25" s="442">
        <f t="shared" si="40"/>
        <v>0</v>
      </c>
      <c r="BU25" s="442">
        <f t="shared" si="41"/>
        <v>0</v>
      </c>
      <c r="BV25" s="442">
        <f t="shared" si="42"/>
        <v>0</v>
      </c>
      <c r="BW25" s="442">
        <f t="shared" si="43"/>
        <v>2.1926159999999992</v>
      </c>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row>
    <row r="26" spans="1:123">
      <c r="A26" s="486"/>
      <c r="B26" s="714">
        <v>2</v>
      </c>
      <c r="C26" s="715" t="s">
        <v>97</v>
      </c>
      <c r="D26" s="714" t="s">
        <v>496</v>
      </c>
      <c r="E26" s="716">
        <v>2446</v>
      </c>
      <c r="F26" s="717"/>
      <c r="G26" s="717" t="str">
        <f t="shared" si="48"/>
        <v>042434L</v>
      </c>
      <c r="H26" s="271"/>
      <c r="I26" t="s">
        <v>105</v>
      </c>
      <c r="J26" t="s">
        <v>87</v>
      </c>
      <c r="K26" s="57" t="s">
        <v>106</v>
      </c>
      <c r="L26" s="91">
        <v>234</v>
      </c>
      <c r="M26" s="67">
        <f t="shared" si="51"/>
        <v>0</v>
      </c>
      <c r="N26" s="67">
        <f t="shared" si="51"/>
        <v>61</v>
      </c>
      <c r="O26" s="67">
        <f t="shared" si="51"/>
        <v>0</v>
      </c>
      <c r="P26" s="67">
        <f t="shared" si="51"/>
        <v>0</v>
      </c>
      <c r="Q26" s="67">
        <f t="shared" si="51"/>
        <v>0</v>
      </c>
      <c r="R26" s="444">
        <f t="shared" ref="R26:R27" si="52">IF(SUM(M26:Q26)&gt;0,0,1)</f>
        <v>0</v>
      </c>
      <c r="S26" s="470">
        <v>0</v>
      </c>
      <c r="T26" s="470">
        <v>16.03</v>
      </c>
      <c r="U26" s="470">
        <v>0</v>
      </c>
      <c r="V26" s="470">
        <v>0</v>
      </c>
      <c r="W26" s="470">
        <v>0</v>
      </c>
      <c r="Y26" s="68">
        <f t="shared" ref="Y26:Y27" si="53">IF(AND(M26&lt;&gt;0,S26=0),#VALUE!,M26*S26)</f>
        <v>0</v>
      </c>
      <c r="Z26" s="68">
        <f t="shared" ref="Z26:Z27" si="54">IF(AND(N26&lt;&gt;0,T26=0),#VALUE!,N26*T26)</f>
        <v>977.83</v>
      </c>
      <c r="AA26" s="68">
        <f t="shared" ref="AA26:AA27" si="55">IF(AND(O26&lt;&gt;0,U26=0),#VALUE!,O26*U26)</f>
        <v>0</v>
      </c>
      <c r="AB26" s="68">
        <f t="shared" ref="AB26:AB27" si="56">IF(AND(P26&lt;&gt;0,V26=0),#VALUE!,P26*V26)</f>
        <v>0</v>
      </c>
      <c r="AC26" s="68">
        <f t="shared" ref="AC26:AC27" si="57">IF(AND(Q26&lt;&gt;0,W26=0),#VALUE!,Q26*W26)</f>
        <v>0</v>
      </c>
      <c r="AE26" s="67">
        <f t="shared" ref="AE26:AE27" si="58">M26</f>
        <v>0</v>
      </c>
      <c r="AF26" s="67">
        <f t="shared" ref="AF26:AI27" si="59">N26</f>
        <v>61</v>
      </c>
      <c r="AG26" s="67">
        <f t="shared" si="59"/>
        <v>0</v>
      </c>
      <c r="AH26" s="67">
        <f t="shared" si="59"/>
        <v>0</v>
      </c>
      <c r="AI26" s="67">
        <f t="shared" si="59"/>
        <v>0</v>
      </c>
      <c r="AK26" s="449">
        <f t="shared" si="8"/>
        <v>0</v>
      </c>
      <c r="AL26" s="449">
        <f>ROUND(T26*(1+AL$1),2)</f>
        <v>17.670000000000002</v>
      </c>
      <c r="AM26" s="449">
        <f t="shared" si="9"/>
        <v>0</v>
      </c>
      <c r="AN26" s="449">
        <f t="shared" si="10"/>
        <v>0</v>
      </c>
      <c r="AO26" s="449">
        <f t="shared" ref="AO26:AO27" si="60">ROUND(W26*(1+AO$1),2)</f>
        <v>0</v>
      </c>
      <c r="AQ26" s="68">
        <f t="shared" si="11"/>
        <v>0</v>
      </c>
      <c r="AR26" s="68">
        <f t="shared" si="12"/>
        <v>1077.8700000000001</v>
      </c>
      <c r="AS26" s="68">
        <f t="shared" si="13"/>
        <v>0</v>
      </c>
      <c r="AT26" s="68">
        <f t="shared" si="14"/>
        <v>0</v>
      </c>
      <c r="AU26" s="68">
        <f t="shared" si="15"/>
        <v>0</v>
      </c>
      <c r="AV26" s="68">
        <f t="shared" ref="AV26:AV27" si="61">SUM(AR26)-SUM(Z26)</f>
        <v>100.04000000000008</v>
      </c>
      <c r="AW26" s="400">
        <f t="shared" ref="AW26:AW32" si="62">AV26/Z26</f>
        <v>0.10230817217716788</v>
      </c>
      <c r="AX26" s="392">
        <v>20</v>
      </c>
      <c r="AY26" s="446"/>
      <c r="AZ26" s="446">
        <v>14.93</v>
      </c>
      <c r="BA26" s="446"/>
      <c r="BB26" s="446"/>
      <c r="BC26" s="446"/>
      <c r="BD26" s="131"/>
      <c r="BE26" s="452">
        <f t="shared" ref="BE26:BE27" si="63">ROUND(AX26*$BE$2,2)+ROUND(AX26*$BE$1,2)</f>
        <v>5.0000000000000017E-2</v>
      </c>
      <c r="BF26" s="52"/>
      <c r="BG26" s="52">
        <f>ROUND((T26*$BF$2)+$BE26-AZ26,2)</f>
        <v>1.39</v>
      </c>
      <c r="BH26" s="52"/>
      <c r="BI26" s="52"/>
      <c r="BJ26" s="52"/>
      <c r="BM26" s="450">
        <f t="shared" si="17"/>
        <v>0</v>
      </c>
      <c r="BN26" s="450">
        <f t="shared" si="18"/>
        <v>17.936817000000001</v>
      </c>
      <c r="BO26" s="450">
        <f t="shared" si="19"/>
        <v>0</v>
      </c>
      <c r="BP26" s="450">
        <f t="shared" si="20"/>
        <v>0</v>
      </c>
      <c r="BQ26" s="450">
        <f t="shared" si="38"/>
        <v>0</v>
      </c>
      <c r="BS26" s="52">
        <f t="shared" ref="BS26:BS27" si="64">BM26-AY26</f>
        <v>0</v>
      </c>
      <c r="BT26" s="52">
        <f t="shared" ref="BT26:BT27" si="65">BN26-AZ26</f>
        <v>3.0068170000000016</v>
      </c>
      <c r="BU26" s="52">
        <f t="shared" ref="BU26:BU27" si="66">BO26-BA26</f>
        <v>0</v>
      </c>
      <c r="BV26" s="52">
        <f t="shared" ref="BV26:BV27" si="67">BP26-BB26</f>
        <v>0</v>
      </c>
      <c r="BW26" s="52">
        <f t="shared" ref="BW26:BW27" si="68">BQ26-BC26</f>
        <v>0</v>
      </c>
      <c r="DC26" s="546"/>
      <c r="DD26" s="546"/>
      <c r="DE26" s="546"/>
      <c r="DF26" s="546"/>
      <c r="DG26" s="546"/>
      <c r="DH26" s="546"/>
      <c r="DI26" s="546"/>
      <c r="DJ26" s="546"/>
      <c r="DK26" s="546"/>
      <c r="DL26" s="546"/>
      <c r="DM26" s="546"/>
      <c r="DN26" s="546"/>
      <c r="DO26" s="546"/>
      <c r="DP26" s="546"/>
      <c r="DQ26" s="546"/>
      <c r="DR26" s="546"/>
      <c r="DS26" s="546"/>
    </row>
    <row r="27" spans="1:123">
      <c r="B27" s="714">
        <v>2</v>
      </c>
      <c r="C27" s="715" t="s">
        <v>97</v>
      </c>
      <c r="D27" s="714">
        <v>435</v>
      </c>
      <c r="E27" s="716">
        <v>215</v>
      </c>
      <c r="F27" s="717"/>
      <c r="G27" s="717" t="str">
        <f t="shared" si="48"/>
        <v>042435</v>
      </c>
      <c r="H27" s="271"/>
      <c r="I27" t="s">
        <v>107</v>
      </c>
      <c r="J27" t="s">
        <v>108</v>
      </c>
      <c r="K27" s="57" t="s">
        <v>109</v>
      </c>
      <c r="L27" s="91">
        <v>335</v>
      </c>
      <c r="M27" s="67">
        <f t="shared" si="51"/>
        <v>0</v>
      </c>
      <c r="N27" s="67">
        <f t="shared" si="51"/>
        <v>0</v>
      </c>
      <c r="O27" s="67">
        <f t="shared" si="51"/>
        <v>0</v>
      </c>
      <c r="P27" s="67">
        <f t="shared" si="51"/>
        <v>0</v>
      </c>
      <c r="Q27" s="67">
        <f t="shared" si="51"/>
        <v>8</v>
      </c>
      <c r="R27" s="444">
        <f t="shared" si="52"/>
        <v>0</v>
      </c>
      <c r="S27" s="470">
        <v>0</v>
      </c>
      <c r="T27" s="470">
        <v>0</v>
      </c>
      <c r="U27" s="470">
        <v>0</v>
      </c>
      <c r="V27" s="470">
        <v>0</v>
      </c>
      <c r="W27" s="470">
        <v>4.17</v>
      </c>
      <c r="Y27" s="68">
        <f t="shared" si="53"/>
        <v>0</v>
      </c>
      <c r="Z27" s="68">
        <f t="shared" si="54"/>
        <v>0</v>
      </c>
      <c r="AA27" s="68">
        <f t="shared" si="55"/>
        <v>0</v>
      </c>
      <c r="AB27" s="68">
        <f t="shared" si="56"/>
        <v>0</v>
      </c>
      <c r="AC27" s="68">
        <f t="shared" si="57"/>
        <v>33.36</v>
      </c>
      <c r="AE27" s="67">
        <f t="shared" si="58"/>
        <v>0</v>
      </c>
      <c r="AF27" s="67">
        <f t="shared" si="59"/>
        <v>0</v>
      </c>
      <c r="AG27" s="67">
        <f t="shared" si="59"/>
        <v>0</v>
      </c>
      <c r="AH27" s="67">
        <f t="shared" si="59"/>
        <v>0</v>
      </c>
      <c r="AI27" s="67">
        <f t="shared" si="59"/>
        <v>8</v>
      </c>
      <c r="AK27" s="449">
        <f t="shared" si="8"/>
        <v>0</v>
      </c>
      <c r="AL27" s="449">
        <f t="shared" si="8"/>
        <v>0</v>
      </c>
      <c r="AM27" s="449">
        <f t="shared" si="9"/>
        <v>0</v>
      </c>
      <c r="AN27" s="449">
        <f t="shared" si="10"/>
        <v>0</v>
      </c>
      <c r="AO27" s="449">
        <f t="shared" si="60"/>
        <v>4.63</v>
      </c>
      <c r="AQ27" s="68">
        <f t="shared" si="11"/>
        <v>0</v>
      </c>
      <c r="AR27" s="68">
        <f t="shared" si="12"/>
        <v>0</v>
      </c>
      <c r="AS27" s="68">
        <f t="shared" si="13"/>
        <v>0</v>
      </c>
      <c r="AT27" s="68">
        <f t="shared" si="14"/>
        <v>0</v>
      </c>
      <c r="AU27" s="68">
        <f t="shared" si="15"/>
        <v>37.04</v>
      </c>
      <c r="AV27" s="68">
        <f t="shared" si="61"/>
        <v>0</v>
      </c>
      <c r="AW27" s="400" t="e">
        <f t="shared" si="62"/>
        <v>#DIV/0!</v>
      </c>
      <c r="AX27" s="392">
        <v>25</v>
      </c>
      <c r="AY27" s="446"/>
      <c r="AZ27" s="446"/>
      <c r="BA27" s="446"/>
      <c r="BB27" s="446"/>
      <c r="BC27" s="446">
        <v>3.84</v>
      </c>
      <c r="BD27" s="131"/>
      <c r="BE27" s="452">
        <f t="shared" si="63"/>
        <v>0.06</v>
      </c>
      <c r="BF27" s="52"/>
      <c r="BG27" s="52"/>
      <c r="BH27" s="52"/>
      <c r="BI27" s="52"/>
      <c r="BJ27" s="52">
        <f>ROUND((W27*$BF$2)+$BE27-BC27,2)</f>
        <v>0.45</v>
      </c>
      <c r="BM27" s="450">
        <f t="shared" si="17"/>
        <v>0</v>
      </c>
      <c r="BN27" s="450">
        <f t="shared" si="18"/>
        <v>0</v>
      </c>
      <c r="BO27" s="450">
        <f t="shared" si="19"/>
        <v>0</v>
      </c>
      <c r="BP27" s="450">
        <f t="shared" si="20"/>
        <v>0</v>
      </c>
      <c r="BQ27" s="450">
        <f t="shared" si="38"/>
        <v>4.6999129999999996</v>
      </c>
      <c r="BS27" s="52">
        <f t="shared" si="64"/>
        <v>0</v>
      </c>
      <c r="BT27" s="52">
        <f t="shared" si="65"/>
        <v>0</v>
      </c>
      <c r="BU27" s="52">
        <f t="shared" si="66"/>
        <v>0</v>
      </c>
      <c r="BV27" s="52">
        <f t="shared" si="67"/>
        <v>0</v>
      </c>
      <c r="BW27" s="52">
        <f t="shared" si="68"/>
        <v>0.85991299999999971</v>
      </c>
    </row>
    <row r="28" spans="1:123">
      <c r="A28" s="486"/>
      <c r="B28" s="714">
        <v>2</v>
      </c>
      <c r="C28" s="715" t="s">
        <v>97</v>
      </c>
      <c r="D28" s="714" t="s">
        <v>497</v>
      </c>
      <c r="E28" s="716">
        <f>2631+1</f>
        <v>2632</v>
      </c>
      <c r="F28" s="717"/>
      <c r="G28" s="717" t="str">
        <f t="shared" si="48"/>
        <v>042435L</v>
      </c>
      <c r="H28" s="847"/>
      <c r="I28" t="s">
        <v>110</v>
      </c>
      <c r="J28" t="s">
        <v>108</v>
      </c>
      <c r="K28" s="57">
        <v>7000</v>
      </c>
      <c r="L28" s="91">
        <v>415</v>
      </c>
      <c r="M28" s="67">
        <f t="shared" si="51"/>
        <v>0</v>
      </c>
      <c r="N28" s="67">
        <f t="shared" si="51"/>
        <v>0</v>
      </c>
      <c r="O28" s="67">
        <f t="shared" si="51"/>
        <v>0</v>
      </c>
      <c r="P28" s="67">
        <f t="shared" si="51"/>
        <v>61</v>
      </c>
      <c r="Q28" s="67">
        <f t="shared" si="51"/>
        <v>0</v>
      </c>
      <c r="R28" s="444">
        <f>IF(SUM(M28:Q28)&gt;0,0,1)</f>
        <v>0</v>
      </c>
      <c r="S28" s="470">
        <v>0</v>
      </c>
      <c r="T28" s="470">
        <v>0</v>
      </c>
      <c r="U28" s="470">
        <v>0</v>
      </c>
      <c r="V28" s="470">
        <v>8.23</v>
      </c>
      <c r="W28" s="470">
        <v>0</v>
      </c>
      <c r="Y28" s="68">
        <f t="shared" ref="Y28:AC33" si="69">IF(AND(M28&lt;&gt;0,S28=0),#VALUE!,M28*S28)</f>
        <v>0</v>
      </c>
      <c r="Z28" s="68">
        <f t="shared" si="69"/>
        <v>0</v>
      </c>
      <c r="AA28" s="68">
        <f t="shared" si="69"/>
        <v>0</v>
      </c>
      <c r="AB28" s="68">
        <f t="shared" si="69"/>
        <v>502.03000000000003</v>
      </c>
      <c r="AC28" s="68">
        <f t="shared" si="69"/>
        <v>0</v>
      </c>
      <c r="AE28" s="67">
        <f t="shared" ref="AE28:AI30" si="70">M28</f>
        <v>0</v>
      </c>
      <c r="AF28" s="67">
        <f t="shared" si="70"/>
        <v>0</v>
      </c>
      <c r="AG28" s="67">
        <f t="shared" si="70"/>
        <v>0</v>
      </c>
      <c r="AH28" s="67">
        <f t="shared" si="70"/>
        <v>61</v>
      </c>
      <c r="AI28" s="67">
        <f t="shared" si="70"/>
        <v>0</v>
      </c>
      <c r="AK28" s="449">
        <f t="shared" ref="AK28:AO30" si="71">ROUND(S28*(1+AK$1),2)</f>
        <v>0</v>
      </c>
      <c r="AL28" s="449">
        <f t="shared" si="71"/>
        <v>0</v>
      </c>
      <c r="AM28" s="449">
        <f t="shared" si="71"/>
        <v>0</v>
      </c>
      <c r="AN28" s="449">
        <f t="shared" si="71"/>
        <v>9.1300000000000008</v>
      </c>
      <c r="AO28" s="449">
        <f t="shared" si="71"/>
        <v>0</v>
      </c>
      <c r="AQ28" s="68">
        <f t="shared" ref="AQ28:AU32" si="72">IF(AND(AE28&lt;&gt;0,AK28=0),#VALUE!,AE28*AK28)</f>
        <v>0</v>
      </c>
      <c r="AR28" s="68">
        <f t="shared" si="72"/>
        <v>0</v>
      </c>
      <c r="AS28" s="68">
        <f t="shared" si="72"/>
        <v>0</v>
      </c>
      <c r="AT28" s="68">
        <f t="shared" si="72"/>
        <v>556.93000000000006</v>
      </c>
      <c r="AU28" s="68">
        <f t="shared" si="72"/>
        <v>0</v>
      </c>
      <c r="AV28" s="68">
        <f>SUM(AR28)-SUM(Z28)</f>
        <v>0</v>
      </c>
      <c r="AW28" s="400" t="e">
        <f t="shared" si="62"/>
        <v>#DIV/0!</v>
      </c>
      <c r="AX28" s="392">
        <v>80</v>
      </c>
      <c r="AY28" s="446"/>
      <c r="AZ28" s="446"/>
      <c r="BA28" s="446"/>
      <c r="BB28" s="446">
        <v>7.56</v>
      </c>
      <c r="BC28" s="446"/>
      <c r="BD28" s="131"/>
      <c r="BE28" s="452">
        <f t="shared" ref="BE28:BE55" si="73">ROUND(AX28*$BE$2,2)+ROUND(AX28*$BE$1,2)</f>
        <v>0.18000000000000016</v>
      </c>
      <c r="BF28" s="52"/>
      <c r="BG28" s="52"/>
      <c r="BH28" s="52"/>
      <c r="BI28" s="52">
        <f>ROUND((V28*$BF$2)+$BE28-BB28,2)</f>
        <v>0.97</v>
      </c>
      <c r="BJ28" s="52"/>
      <c r="BM28" s="450">
        <f t="shared" si="17"/>
        <v>0</v>
      </c>
      <c r="BN28" s="450">
        <f t="shared" si="18"/>
        <v>0</v>
      </c>
      <c r="BO28" s="450">
        <f t="shared" si="19"/>
        <v>0</v>
      </c>
      <c r="BP28" s="450">
        <f t="shared" si="20"/>
        <v>9.2678630000000002</v>
      </c>
      <c r="BQ28" s="450">
        <f t="shared" si="38"/>
        <v>0</v>
      </c>
      <c r="BS28" s="52">
        <f t="shared" ref="BS28:BW32" si="74">BM28-AY28</f>
        <v>0</v>
      </c>
      <c r="BT28" s="52">
        <f t="shared" si="74"/>
        <v>0</v>
      </c>
      <c r="BU28" s="52">
        <f t="shared" si="74"/>
        <v>0</v>
      </c>
      <c r="BV28" s="52">
        <f t="shared" si="74"/>
        <v>1.7078630000000006</v>
      </c>
      <c r="BW28" s="52">
        <f t="shared" si="74"/>
        <v>0</v>
      </c>
    </row>
    <row r="29" spans="1:123">
      <c r="A29" s="467"/>
      <c r="B29" s="714">
        <v>2</v>
      </c>
      <c r="C29" s="715" t="s">
        <v>97</v>
      </c>
      <c r="D29" s="714" t="s">
        <v>600</v>
      </c>
      <c r="E29" s="716">
        <f>1860+5</f>
        <v>1865</v>
      </c>
      <c r="F29" s="717"/>
      <c r="G29" s="717" t="str">
        <f t="shared" si="48"/>
        <v>042435T</v>
      </c>
      <c r="H29" s="847"/>
      <c r="I29" t="s">
        <v>110</v>
      </c>
      <c r="J29" t="s">
        <v>123</v>
      </c>
      <c r="K29" s="57">
        <v>7000</v>
      </c>
      <c r="L29" s="91">
        <v>419</v>
      </c>
      <c r="M29" s="67">
        <f t="shared" si="51"/>
        <v>0</v>
      </c>
      <c r="N29" s="67">
        <f t="shared" si="51"/>
        <v>0</v>
      </c>
      <c r="O29" s="67">
        <f t="shared" si="51"/>
        <v>0</v>
      </c>
      <c r="P29" s="67">
        <f t="shared" si="51"/>
        <v>16</v>
      </c>
      <c r="Q29" s="67">
        <f t="shared" si="51"/>
        <v>0</v>
      </c>
      <c r="R29" s="444">
        <f>IF(SUM(M29:Q29)&gt;0,0,1)</f>
        <v>0</v>
      </c>
      <c r="S29" s="470">
        <v>0</v>
      </c>
      <c r="T29" s="470">
        <v>0</v>
      </c>
      <c r="U29" s="470">
        <v>0</v>
      </c>
      <c r="V29" s="470">
        <v>5.57</v>
      </c>
      <c r="W29" s="470">
        <v>0</v>
      </c>
      <c r="Y29" s="68">
        <f t="shared" si="69"/>
        <v>0</v>
      </c>
      <c r="Z29" s="68">
        <f t="shared" si="69"/>
        <v>0</v>
      </c>
      <c r="AA29" s="68">
        <f t="shared" si="69"/>
        <v>0</v>
      </c>
      <c r="AB29" s="68">
        <f t="shared" si="69"/>
        <v>89.12</v>
      </c>
      <c r="AC29" s="68">
        <f t="shared" si="69"/>
        <v>0</v>
      </c>
      <c r="AE29" s="67">
        <f t="shared" si="70"/>
        <v>0</v>
      </c>
      <c r="AF29" s="67">
        <f t="shared" si="70"/>
        <v>0</v>
      </c>
      <c r="AG29" s="67">
        <f t="shared" si="70"/>
        <v>0</v>
      </c>
      <c r="AH29" s="67">
        <f t="shared" si="70"/>
        <v>16</v>
      </c>
      <c r="AI29" s="67">
        <f t="shared" si="70"/>
        <v>0</v>
      </c>
      <c r="AK29" s="449">
        <f t="shared" si="71"/>
        <v>0</v>
      </c>
      <c r="AL29" s="449">
        <f t="shared" si="71"/>
        <v>0</v>
      </c>
      <c r="AM29" s="449">
        <f t="shared" si="71"/>
        <v>0</v>
      </c>
      <c r="AN29" s="449">
        <f t="shared" si="71"/>
        <v>6.18</v>
      </c>
      <c r="AO29" s="449">
        <f t="shared" si="71"/>
        <v>0</v>
      </c>
      <c r="AQ29" s="68">
        <f t="shared" si="72"/>
        <v>0</v>
      </c>
      <c r="AR29" s="68">
        <f t="shared" si="72"/>
        <v>0</v>
      </c>
      <c r="AS29" s="68">
        <f t="shared" si="72"/>
        <v>0</v>
      </c>
      <c r="AT29" s="68">
        <f t="shared" si="72"/>
        <v>98.88</v>
      </c>
      <c r="AU29" s="68">
        <f t="shared" si="72"/>
        <v>0</v>
      </c>
      <c r="AV29" s="68">
        <f>SUM(AR29)-SUM(Z29)</f>
        <v>0</v>
      </c>
      <c r="AW29" s="400" t="e">
        <f t="shared" si="62"/>
        <v>#DIV/0!</v>
      </c>
      <c r="AX29" s="392">
        <v>80</v>
      </c>
      <c r="AY29" s="446"/>
      <c r="AZ29" s="446"/>
      <c r="BA29" s="446"/>
      <c r="BB29" s="446">
        <v>5.13</v>
      </c>
      <c r="BC29" s="446"/>
      <c r="BD29" s="131"/>
      <c r="BE29" s="452">
        <f t="shared" si="73"/>
        <v>0.18000000000000016</v>
      </c>
      <c r="BF29" s="52"/>
      <c r="BG29" s="52"/>
      <c r="BH29" s="52"/>
      <c r="BI29" s="52">
        <f>ROUND((V29*$BF$2)+$BE29-BB29,2)</f>
        <v>0.7</v>
      </c>
      <c r="BJ29" s="52"/>
      <c r="BM29" s="450">
        <f t="shared" si="17"/>
        <v>0</v>
      </c>
      <c r="BN29" s="450">
        <f t="shared" si="18"/>
        <v>0</v>
      </c>
      <c r="BO29" s="450">
        <f t="shared" si="19"/>
        <v>0</v>
      </c>
      <c r="BP29" s="450">
        <f t="shared" si="20"/>
        <v>6.2733179999999988</v>
      </c>
      <c r="BQ29" s="450">
        <f t="shared" si="38"/>
        <v>0</v>
      </c>
      <c r="BS29" s="52">
        <f t="shared" si="74"/>
        <v>0</v>
      </c>
      <c r="BT29" s="52">
        <f t="shared" si="74"/>
        <v>0</v>
      </c>
      <c r="BU29" s="52">
        <f t="shared" si="74"/>
        <v>0</v>
      </c>
      <c r="BV29" s="52">
        <f t="shared" si="74"/>
        <v>1.1433179999999989</v>
      </c>
      <c r="BW29" s="52">
        <f t="shared" si="74"/>
        <v>0</v>
      </c>
    </row>
    <row r="30" spans="1:123">
      <c r="B30" s="714">
        <v>2</v>
      </c>
      <c r="C30" s="715" t="s">
        <v>97</v>
      </c>
      <c r="D30" s="714">
        <v>436</v>
      </c>
      <c r="E30" s="716">
        <v>13</v>
      </c>
      <c r="F30" s="717"/>
      <c r="G30" s="717" t="str">
        <f t="shared" si="48"/>
        <v>042436</v>
      </c>
      <c r="H30" s="271"/>
      <c r="I30" t="s">
        <v>105</v>
      </c>
      <c r="J30" t="s">
        <v>673</v>
      </c>
      <c r="K30" s="57" t="s">
        <v>111</v>
      </c>
      <c r="L30" s="91">
        <v>421</v>
      </c>
      <c r="M30" s="67">
        <f t="shared" si="51"/>
        <v>0</v>
      </c>
      <c r="N30" s="67">
        <f t="shared" si="51"/>
        <v>2</v>
      </c>
      <c r="O30" s="67">
        <f t="shared" si="51"/>
        <v>0</v>
      </c>
      <c r="P30" s="67">
        <f t="shared" si="51"/>
        <v>0</v>
      </c>
      <c r="Q30" s="67">
        <f t="shared" si="51"/>
        <v>0</v>
      </c>
      <c r="R30" s="444">
        <f>IF(SUM(M30:Q30)&gt;0,0,1)</f>
        <v>0</v>
      </c>
      <c r="S30" s="470">
        <v>0</v>
      </c>
      <c r="T30" s="470">
        <v>28.23</v>
      </c>
      <c r="U30" s="470">
        <v>0</v>
      </c>
      <c r="V30" s="470">
        <v>0</v>
      </c>
      <c r="W30" s="470">
        <v>0</v>
      </c>
      <c r="Y30" s="68">
        <f t="shared" si="69"/>
        <v>0</v>
      </c>
      <c r="Z30" s="68">
        <f t="shared" si="69"/>
        <v>56.46</v>
      </c>
      <c r="AA30" s="68">
        <f t="shared" si="69"/>
        <v>0</v>
      </c>
      <c r="AB30" s="68">
        <f t="shared" si="69"/>
        <v>0</v>
      </c>
      <c r="AC30" s="68">
        <f t="shared" si="69"/>
        <v>0</v>
      </c>
      <c r="AE30" s="67">
        <f t="shared" si="70"/>
        <v>0</v>
      </c>
      <c r="AF30" s="67">
        <f t="shared" si="70"/>
        <v>2</v>
      </c>
      <c r="AG30" s="67">
        <f t="shared" si="70"/>
        <v>0</v>
      </c>
      <c r="AH30" s="67">
        <f t="shared" si="70"/>
        <v>0</v>
      </c>
      <c r="AI30" s="67">
        <f t="shared" si="70"/>
        <v>0</v>
      </c>
      <c r="AK30" s="449">
        <f t="shared" si="71"/>
        <v>0</v>
      </c>
      <c r="AL30" s="449">
        <f t="shared" si="71"/>
        <v>31.12</v>
      </c>
      <c r="AM30" s="449">
        <f t="shared" si="71"/>
        <v>0</v>
      </c>
      <c r="AN30" s="449">
        <f t="shared" si="71"/>
        <v>0</v>
      </c>
      <c r="AO30" s="449">
        <f t="shared" si="71"/>
        <v>0</v>
      </c>
      <c r="AQ30" s="68">
        <f t="shared" si="72"/>
        <v>0</v>
      </c>
      <c r="AR30" s="68">
        <f t="shared" si="72"/>
        <v>62.24</v>
      </c>
      <c r="AS30" s="68">
        <f t="shared" si="72"/>
        <v>0</v>
      </c>
      <c r="AT30" s="68">
        <f t="shared" si="72"/>
        <v>0</v>
      </c>
      <c r="AU30" s="68">
        <f t="shared" si="72"/>
        <v>0</v>
      </c>
      <c r="AV30" s="68">
        <f>SUM(AR30)-SUM(Z30)</f>
        <v>5.7800000000000011</v>
      </c>
      <c r="AW30" s="400">
        <f t="shared" si="62"/>
        <v>0.10237336167198018</v>
      </c>
      <c r="AX30" s="392">
        <v>40</v>
      </c>
      <c r="AY30" s="446"/>
      <c r="AZ30" s="446">
        <v>26.291089999999997</v>
      </c>
      <c r="BA30" s="446"/>
      <c r="BB30" s="446"/>
      <c r="BC30" s="446"/>
      <c r="BD30" s="131"/>
      <c r="BE30" s="452">
        <f t="shared" si="73"/>
        <v>9.000000000000008E-2</v>
      </c>
      <c r="BF30" s="52"/>
      <c r="BG30" s="52">
        <f t="shared" ref="BG30:BG56" si="75">ROUND((T30*$BF$2)+$BE30-AZ30,2)</f>
        <v>2.46</v>
      </c>
      <c r="BH30" s="52"/>
      <c r="BI30" s="52"/>
      <c r="BJ30" s="52"/>
      <c r="BM30" s="450">
        <f t="shared" si="17"/>
        <v>0</v>
      </c>
      <c r="BN30" s="450">
        <f t="shared" si="18"/>
        <v>31.589911999999998</v>
      </c>
      <c r="BO30" s="450">
        <f t="shared" si="19"/>
        <v>0</v>
      </c>
      <c r="BP30" s="450">
        <f t="shared" si="20"/>
        <v>0</v>
      </c>
      <c r="BQ30" s="450">
        <f t="shared" si="38"/>
        <v>0</v>
      </c>
      <c r="BS30" s="52">
        <f t="shared" si="74"/>
        <v>0</v>
      </c>
      <c r="BT30" s="52">
        <f t="shared" si="74"/>
        <v>5.2988220000000013</v>
      </c>
      <c r="BU30" s="52">
        <f t="shared" si="74"/>
        <v>0</v>
      </c>
      <c r="BV30" s="52">
        <f t="shared" si="74"/>
        <v>0</v>
      </c>
      <c r="BW30" s="52">
        <f t="shared" si="74"/>
        <v>0</v>
      </c>
    </row>
    <row r="31" spans="1:123">
      <c r="A31" s="486"/>
      <c r="B31" s="714">
        <v>2</v>
      </c>
      <c r="C31" s="715" t="s">
        <v>97</v>
      </c>
      <c r="D31" s="714" t="s">
        <v>498</v>
      </c>
      <c r="E31" s="716">
        <v>147</v>
      </c>
      <c r="F31" s="717"/>
      <c r="G31" s="717" t="str">
        <f t="shared" si="48"/>
        <v>042436L</v>
      </c>
      <c r="H31" s="271"/>
      <c r="I31" s="380" t="s">
        <v>605</v>
      </c>
      <c r="J31" s="509" t="s">
        <v>673</v>
      </c>
      <c r="K31" s="443" t="s">
        <v>109</v>
      </c>
      <c r="L31" s="445" t="s">
        <v>492</v>
      </c>
      <c r="M31" s="67">
        <f t="shared" si="51"/>
        <v>0</v>
      </c>
      <c r="N31" s="67">
        <f t="shared" si="51"/>
        <v>1</v>
      </c>
      <c r="O31" s="67">
        <f t="shared" si="51"/>
        <v>0</v>
      </c>
      <c r="P31" s="67">
        <f t="shared" si="51"/>
        <v>0</v>
      </c>
      <c r="Q31" s="67">
        <f t="shared" si="51"/>
        <v>0</v>
      </c>
      <c r="R31" s="444">
        <f>IF(SUM(M31:Q31)&gt;0,0,1)</f>
        <v>0</v>
      </c>
      <c r="S31" s="470">
        <v>0</v>
      </c>
      <c r="T31" s="487">
        <v>28.23</v>
      </c>
      <c r="U31" s="470">
        <v>0</v>
      </c>
      <c r="V31" s="470">
        <v>0</v>
      </c>
      <c r="W31" s="470">
        <v>0</v>
      </c>
      <c r="Y31" s="68">
        <f t="shared" si="69"/>
        <v>0</v>
      </c>
      <c r="Z31" s="68">
        <f t="shared" si="69"/>
        <v>28.23</v>
      </c>
      <c r="AA31" s="68">
        <f t="shared" si="69"/>
        <v>0</v>
      </c>
      <c r="AB31" s="68">
        <f t="shared" si="69"/>
        <v>0</v>
      </c>
      <c r="AC31" s="68">
        <f t="shared" si="69"/>
        <v>0</v>
      </c>
      <c r="AE31" s="67">
        <f>SUMIF($G:$G,TEXT(AE$3,"000")&amp;TEXT($L31,"000"),$E:$E)</f>
        <v>0</v>
      </c>
      <c r="AF31" s="67">
        <f>SUMIF($G:$G,TEXT(AF$3,"000")&amp;TEXT($L31,"000"),$E:$E)</f>
        <v>1</v>
      </c>
      <c r="AG31" s="67">
        <f>SUMIF($G:$G,TEXT(AG$3,"000")&amp;TEXT($L31,"000"),$E:$E)</f>
        <v>0</v>
      </c>
      <c r="AH31" s="67">
        <f>SUMIF($G:$G,TEXT(AH$3,"000")&amp;TEXT($L31,"000"),$E:$E)</f>
        <v>0</v>
      </c>
      <c r="AI31" s="67">
        <f>SUMIF($G:$G,TEXT(AI$3,"000")&amp;TEXT($L31,"000"),$E:$E)</f>
        <v>0</v>
      </c>
      <c r="AK31" s="449">
        <f t="shared" ref="AK31:AK62" si="76">ROUND(S31*(1+AK$1),2)</f>
        <v>0</v>
      </c>
      <c r="AL31" s="449">
        <f>AL30</f>
        <v>31.12</v>
      </c>
      <c r="AM31" s="449">
        <f t="shared" ref="AM31:AM62" si="77">ROUND(U31*(1+AM$1),2)</f>
        <v>0</v>
      </c>
      <c r="AN31" s="449">
        <f t="shared" ref="AN31:AN62" si="78">ROUND(V31*(1+AN$1),2)</f>
        <v>0</v>
      </c>
      <c r="AO31" s="449">
        <f t="shared" ref="AO31:AO62" si="79">ROUND(W31*(1+AO$1),2)</f>
        <v>0</v>
      </c>
      <c r="AQ31" s="68">
        <f t="shared" si="72"/>
        <v>0</v>
      </c>
      <c r="AR31" s="68">
        <f t="shared" si="72"/>
        <v>31.12</v>
      </c>
      <c r="AS31" s="68">
        <f t="shared" si="72"/>
        <v>0</v>
      </c>
      <c r="AT31" s="68">
        <f t="shared" si="72"/>
        <v>0</v>
      </c>
      <c r="AU31" s="68">
        <f t="shared" si="72"/>
        <v>0</v>
      </c>
      <c r="AV31" s="68">
        <f>SUM(AR31)-SUM(Z31)</f>
        <v>2.8900000000000006</v>
      </c>
      <c r="AW31" s="400">
        <f t="shared" si="62"/>
        <v>0.10237336167198018</v>
      </c>
      <c r="AX31" s="392">
        <v>26</v>
      </c>
      <c r="AY31" s="446"/>
      <c r="AZ31" s="446">
        <v>26.291089999999997</v>
      </c>
      <c r="BA31" s="446"/>
      <c r="BB31" s="446"/>
      <c r="BC31" s="446"/>
      <c r="BD31" s="131"/>
      <c r="BE31" s="452">
        <f t="shared" si="73"/>
        <v>0.06</v>
      </c>
      <c r="BF31" s="52"/>
      <c r="BG31" s="442">
        <f t="shared" si="75"/>
        <v>2.4300000000000002</v>
      </c>
      <c r="BH31" s="52"/>
      <c r="BI31" s="52"/>
      <c r="BJ31" s="52"/>
      <c r="BM31" s="450">
        <f t="shared" si="17"/>
        <v>0</v>
      </c>
      <c r="BN31" s="450">
        <f t="shared" si="18"/>
        <v>31.589911999999998</v>
      </c>
      <c r="BO31" s="450">
        <f t="shared" si="19"/>
        <v>0</v>
      </c>
      <c r="BP31" s="450">
        <f t="shared" si="20"/>
        <v>0</v>
      </c>
      <c r="BQ31" s="450">
        <f t="shared" si="38"/>
        <v>0</v>
      </c>
      <c r="BS31" s="52">
        <f t="shared" si="74"/>
        <v>0</v>
      </c>
      <c r="BT31" s="52">
        <f t="shared" si="74"/>
        <v>5.2988220000000013</v>
      </c>
      <c r="BU31" s="52">
        <f t="shared" si="74"/>
        <v>0</v>
      </c>
      <c r="BV31" s="52">
        <f t="shared" si="74"/>
        <v>0</v>
      </c>
      <c r="BW31" s="52">
        <f t="shared" si="74"/>
        <v>0</v>
      </c>
    </row>
    <row r="32" spans="1:123">
      <c r="A32" s="485"/>
      <c r="B32" s="714">
        <v>2</v>
      </c>
      <c r="C32" s="715" t="s">
        <v>97</v>
      </c>
      <c r="D32" s="714" t="s">
        <v>601</v>
      </c>
      <c r="E32" s="716">
        <v>280</v>
      </c>
      <c r="F32" s="717"/>
      <c r="G32" s="717" t="str">
        <f t="shared" si="48"/>
        <v>042436T</v>
      </c>
      <c r="H32" s="847"/>
      <c r="I32" t="s">
        <v>105</v>
      </c>
      <c r="J32" s="509" t="s">
        <v>673</v>
      </c>
      <c r="K32" s="57" t="s">
        <v>111</v>
      </c>
      <c r="L32" s="91">
        <v>431</v>
      </c>
      <c r="M32" s="67">
        <f t="shared" si="51"/>
        <v>0</v>
      </c>
      <c r="N32" s="67">
        <f t="shared" si="51"/>
        <v>485</v>
      </c>
      <c r="O32" s="67">
        <f t="shared" si="51"/>
        <v>1</v>
      </c>
      <c r="P32" s="67">
        <f t="shared" si="51"/>
        <v>0</v>
      </c>
      <c r="Q32" s="67">
        <f t="shared" si="51"/>
        <v>0</v>
      </c>
      <c r="R32" s="444">
        <f>IF(SUM(M32:Q32)&gt;0,0,1)</f>
        <v>0</v>
      </c>
      <c r="S32" s="470">
        <v>0</v>
      </c>
      <c r="T32" s="470">
        <v>16.28</v>
      </c>
      <c r="U32" s="470">
        <v>8.84</v>
      </c>
      <c r="V32" s="470">
        <v>0</v>
      </c>
      <c r="W32" s="470">
        <v>0</v>
      </c>
      <c r="Y32" s="68">
        <f t="shared" si="69"/>
        <v>0</v>
      </c>
      <c r="Z32" s="68">
        <f t="shared" si="69"/>
        <v>7895.8</v>
      </c>
      <c r="AA32" s="68">
        <f t="shared" si="69"/>
        <v>8.84</v>
      </c>
      <c r="AB32" s="68">
        <f t="shared" si="69"/>
        <v>0</v>
      </c>
      <c r="AC32" s="68">
        <f t="shared" si="69"/>
        <v>0</v>
      </c>
      <c r="AE32" s="67">
        <f>M32</f>
        <v>0</v>
      </c>
      <c r="AF32" s="67">
        <f t="shared" ref="AF32:AI35" si="80">N32</f>
        <v>485</v>
      </c>
      <c r="AG32" s="67">
        <f t="shared" si="80"/>
        <v>1</v>
      </c>
      <c r="AH32" s="67">
        <f t="shared" si="80"/>
        <v>0</v>
      </c>
      <c r="AI32" s="67">
        <f t="shared" si="80"/>
        <v>0</v>
      </c>
      <c r="AK32" s="449">
        <f t="shared" si="76"/>
        <v>0</v>
      </c>
      <c r="AL32" s="449">
        <f>ROUND(T32*(1+AL$1),2)</f>
        <v>17.95</v>
      </c>
      <c r="AM32" s="449">
        <f t="shared" si="77"/>
        <v>9.81</v>
      </c>
      <c r="AN32" s="449">
        <f t="shared" si="78"/>
        <v>0</v>
      </c>
      <c r="AO32" s="449">
        <f t="shared" si="79"/>
        <v>0</v>
      </c>
      <c r="AQ32" s="68">
        <f t="shared" si="72"/>
        <v>0</v>
      </c>
      <c r="AR32" s="68">
        <f t="shared" si="72"/>
        <v>8705.75</v>
      </c>
      <c r="AS32" s="68">
        <f t="shared" si="72"/>
        <v>9.81</v>
      </c>
      <c r="AT32" s="68">
        <f t="shared" si="72"/>
        <v>0</v>
      </c>
      <c r="AU32" s="68">
        <f t="shared" si="72"/>
        <v>0</v>
      </c>
      <c r="AV32" s="68">
        <f>SUM(AR32)-SUM(Z32)</f>
        <v>809.94999999999982</v>
      </c>
      <c r="AW32" s="400">
        <f t="shared" si="62"/>
        <v>0.10257985257985255</v>
      </c>
      <c r="AX32" s="392">
        <v>40</v>
      </c>
      <c r="AY32" s="446"/>
      <c r="AZ32" s="446"/>
      <c r="BA32" s="446">
        <v>8.1309509999999996</v>
      </c>
      <c r="BB32" s="446"/>
      <c r="BC32" s="446"/>
      <c r="BD32" s="131"/>
      <c r="BE32" s="452">
        <f t="shared" si="73"/>
        <v>9.000000000000008E-2</v>
      </c>
      <c r="BF32" s="52"/>
      <c r="BG32" s="52">
        <f t="shared" si="75"/>
        <v>16.62</v>
      </c>
      <c r="BH32" s="52">
        <f>ROUND((U32*$BF$2)+$BE32-BA32,2)</f>
        <v>0.93</v>
      </c>
      <c r="BI32" s="52"/>
      <c r="BJ32" s="52"/>
      <c r="BM32" s="450">
        <f t="shared" si="17"/>
        <v>0</v>
      </c>
      <c r="BN32" s="450">
        <f t="shared" si="18"/>
        <v>18.221044999999997</v>
      </c>
      <c r="BO32" s="450">
        <f t="shared" si="19"/>
        <v>9.9581309999999998</v>
      </c>
      <c r="BP32" s="450">
        <f t="shared" si="20"/>
        <v>0</v>
      </c>
      <c r="BQ32" s="450">
        <f t="shared" si="38"/>
        <v>0</v>
      </c>
      <c r="BS32" s="52">
        <f t="shared" si="74"/>
        <v>0</v>
      </c>
      <c r="BT32" s="52">
        <f t="shared" si="74"/>
        <v>18.221044999999997</v>
      </c>
      <c r="BU32" s="52">
        <f t="shared" si="74"/>
        <v>1.8271800000000002</v>
      </c>
      <c r="BV32" s="52">
        <f t="shared" si="74"/>
        <v>0</v>
      </c>
      <c r="BW32" s="52">
        <f t="shared" si="74"/>
        <v>0</v>
      </c>
      <c r="BX32" s="441"/>
      <c r="BY32" s="441"/>
      <c r="BZ32" s="441"/>
      <c r="CA32" s="441"/>
      <c r="CB32" s="441"/>
    </row>
    <row r="33" spans="1:106">
      <c r="B33" s="714">
        <v>2</v>
      </c>
      <c r="C33" s="715" t="s">
        <v>97</v>
      </c>
      <c r="D33" s="714">
        <v>438</v>
      </c>
      <c r="E33" s="716">
        <v>11</v>
      </c>
      <c r="F33" s="717"/>
      <c r="G33" s="717" t="str">
        <f t="shared" si="48"/>
        <v>042438</v>
      </c>
      <c r="H33" s="271"/>
      <c r="I33" s="380" t="s">
        <v>605</v>
      </c>
      <c r="J33" s="622" t="s">
        <v>673</v>
      </c>
      <c r="K33" s="443" t="s">
        <v>109</v>
      </c>
      <c r="L33" s="445" t="s">
        <v>493</v>
      </c>
      <c r="M33" s="444">
        <f t="shared" si="51"/>
        <v>0</v>
      </c>
      <c r="N33" s="444">
        <f t="shared" si="51"/>
        <v>5366</v>
      </c>
      <c r="O33" s="444">
        <f t="shared" si="51"/>
        <v>0</v>
      </c>
      <c r="P33" s="444">
        <f t="shared" si="51"/>
        <v>0</v>
      </c>
      <c r="Q33" s="444">
        <f t="shared" si="51"/>
        <v>0</v>
      </c>
      <c r="R33" s="444">
        <f t="shared" ref="R33:R34" si="81">IF(SUM(M33:Q33)&gt;0,0,1)</f>
        <v>0</v>
      </c>
      <c r="S33" s="470">
        <v>0</v>
      </c>
      <c r="T33" s="487">
        <v>16.28</v>
      </c>
      <c r="U33" s="470">
        <v>0</v>
      </c>
      <c r="V33" s="470">
        <v>0</v>
      </c>
      <c r="W33" s="470">
        <v>0</v>
      </c>
      <c r="X33" s="622"/>
      <c r="Y33" s="68">
        <f t="shared" si="69"/>
        <v>0</v>
      </c>
      <c r="Z33" s="68">
        <f t="shared" si="69"/>
        <v>87358.48000000001</v>
      </c>
      <c r="AA33" s="68">
        <f t="shared" si="69"/>
        <v>0</v>
      </c>
      <c r="AB33" s="68">
        <f t="shared" si="69"/>
        <v>0</v>
      </c>
      <c r="AC33" s="68">
        <f t="shared" si="69"/>
        <v>0</v>
      </c>
      <c r="AD33" s="622"/>
      <c r="AE33" s="444">
        <f>SUMIF($G:$G,TEXT(AE$3,"000")&amp;TEXT($L33,"000"),$E:$E)</f>
        <v>0</v>
      </c>
      <c r="AF33" s="444">
        <f>SUMIF($G:$G,TEXT(AF$3,"000")&amp;TEXT($L33,"000"),$E:$E)</f>
        <v>5366</v>
      </c>
      <c r="AG33" s="444">
        <f>SUMIF($G:$G,TEXT(AG$3,"000")&amp;TEXT($L33,"000"),$E:$E)</f>
        <v>0</v>
      </c>
      <c r="AH33" s="444">
        <f>SUMIF($G:$G,TEXT(AH$3,"000")&amp;TEXT($L33,"000"),$E:$E)</f>
        <v>0</v>
      </c>
      <c r="AI33" s="444">
        <f>SUMIF($G:$G,TEXT(AI$3,"000")&amp;TEXT($L33,"000"),$E:$E)</f>
        <v>0</v>
      </c>
      <c r="AJ33" s="622"/>
      <c r="AK33" s="449">
        <f t="shared" si="76"/>
        <v>0</v>
      </c>
      <c r="AL33" s="449">
        <f>AL32</f>
        <v>17.95</v>
      </c>
      <c r="AM33" s="449">
        <f t="shared" si="77"/>
        <v>0</v>
      </c>
      <c r="AN33" s="449">
        <f t="shared" si="78"/>
        <v>0</v>
      </c>
      <c r="AO33" s="449">
        <f t="shared" si="79"/>
        <v>0</v>
      </c>
      <c r="AP33" s="622"/>
      <c r="AQ33" s="68">
        <f t="shared" ref="AQ33:AQ53" si="82">IF(AND(AE33&lt;&gt;0,AK33=0),#VALUE!,AE33*AK33)</f>
        <v>0</v>
      </c>
      <c r="AR33" s="68">
        <f t="shared" ref="AR33:AR34" si="83">IF(AND(AF33&lt;&gt;0,AL33=0),#VALUE!,AF33*AL33)</f>
        <v>96319.7</v>
      </c>
      <c r="AS33" s="68">
        <f t="shared" ref="AS33:AS51" si="84">IF(AND(AG33&lt;&gt;0,AM33=0),#VALUE!,AG33*AM33)</f>
        <v>0</v>
      </c>
      <c r="AT33" s="68">
        <f t="shared" ref="AT33:AT51" si="85">IF(AND(AH33&lt;&gt;0,AN33=0),#VALUE!,AH33*AN33)</f>
        <v>0</v>
      </c>
      <c r="AU33" s="68">
        <f t="shared" ref="AU33:AU51" si="86">IF(AND(AI33&lt;&gt;0,AO33=0),#VALUE!,AI33*AO33)</f>
        <v>0</v>
      </c>
      <c r="AV33" s="622"/>
      <c r="AW33" s="622"/>
      <c r="AX33" s="454">
        <v>26</v>
      </c>
      <c r="AY33" s="446"/>
      <c r="AZ33" s="446"/>
      <c r="BA33" s="446"/>
      <c r="BB33" s="446"/>
      <c r="BC33" s="446"/>
      <c r="BD33" s="446"/>
      <c r="BE33" s="452">
        <f t="shared" si="73"/>
        <v>0.06</v>
      </c>
      <c r="BF33" s="442"/>
      <c r="BG33" s="442">
        <f t="shared" si="75"/>
        <v>16.59</v>
      </c>
      <c r="BH33" s="442"/>
      <c r="BI33" s="442"/>
      <c r="BJ33" s="442"/>
      <c r="BK33" s="622"/>
      <c r="BL33" s="622"/>
      <c r="BM33" s="450">
        <f t="shared" si="17"/>
        <v>0</v>
      </c>
      <c r="BN33" s="450">
        <f t="shared" si="18"/>
        <v>18.221044999999997</v>
      </c>
      <c r="BO33" s="450">
        <f t="shared" si="19"/>
        <v>0</v>
      </c>
      <c r="BP33" s="450">
        <f t="shared" si="20"/>
        <v>0</v>
      </c>
      <c r="BQ33" s="450">
        <f t="shared" si="38"/>
        <v>0</v>
      </c>
      <c r="BR33" s="622"/>
      <c r="BS33" s="442">
        <f>BM33-AY33</f>
        <v>0</v>
      </c>
      <c r="BT33" s="442">
        <f t="shared" ref="BT33:BT34" si="87">BN33-AZ33</f>
        <v>18.221044999999997</v>
      </c>
      <c r="BU33" s="442">
        <f t="shared" ref="BU33:BU34" si="88">BO33-BA33</f>
        <v>0</v>
      </c>
      <c r="BV33" s="442">
        <f t="shared" ref="BV33:BV34" si="89">BP33-BB33</f>
        <v>0</v>
      </c>
      <c r="BW33" s="442">
        <f t="shared" ref="BW33:BW34" si="90">BQ33-BC33</f>
        <v>0</v>
      </c>
    </row>
    <row r="34" spans="1:106" s="622" customFormat="1">
      <c r="A34" s="467"/>
      <c r="B34" s="714">
        <v>2</v>
      </c>
      <c r="C34" s="715" t="s">
        <v>97</v>
      </c>
      <c r="D34" s="714" t="s">
        <v>500</v>
      </c>
      <c r="E34" s="716">
        <v>14</v>
      </c>
      <c r="F34" s="717"/>
      <c r="G34" s="717" t="str">
        <f t="shared" si="48"/>
        <v>042441L</v>
      </c>
      <c r="H34" s="271"/>
      <c r="I34" s="622" t="s">
        <v>605</v>
      </c>
      <c r="J34" s="622" t="s">
        <v>673</v>
      </c>
      <c r="K34" s="443" t="s">
        <v>109</v>
      </c>
      <c r="L34" s="445" t="s">
        <v>596</v>
      </c>
      <c r="M34" s="444">
        <f t="shared" ref="M34:Q43" si="91">SUMIF($G:$G,TEXT(M$3,"000")&amp;TEXT($L34,"000"),$E:$E)</f>
        <v>0</v>
      </c>
      <c r="N34" s="444">
        <f t="shared" si="91"/>
        <v>1826</v>
      </c>
      <c r="O34" s="444">
        <f t="shared" si="91"/>
        <v>0</v>
      </c>
      <c r="P34" s="444">
        <f t="shared" si="91"/>
        <v>0</v>
      </c>
      <c r="Q34" s="444">
        <f t="shared" si="91"/>
        <v>0</v>
      </c>
      <c r="R34" s="444">
        <f t="shared" si="81"/>
        <v>0</v>
      </c>
      <c r="S34" s="470">
        <v>0</v>
      </c>
      <c r="T34" s="487">
        <v>11.360000000000001</v>
      </c>
      <c r="U34" s="470">
        <v>0</v>
      </c>
      <c r="V34" s="470">
        <v>0</v>
      </c>
      <c r="W34" s="470">
        <v>0</v>
      </c>
      <c r="Y34" s="68">
        <f>IF(AND(M34&lt;&gt;0,S34=0),#VALUE!,M34*S34)</f>
        <v>0</v>
      </c>
      <c r="Z34" s="68">
        <f t="shared" ref="Z34" si="92">IF(AND(N34&lt;&gt;0,T34=0),#VALUE!,N34*T34)</f>
        <v>20743.36</v>
      </c>
      <c r="AA34" s="696">
        <f t="shared" ref="AA34:AC35" si="93">IF(AND(O34&lt;&gt;0,U34=0),#VALUE!,O34*U34)</f>
        <v>0</v>
      </c>
      <c r="AB34" s="696">
        <f t="shared" si="93"/>
        <v>0</v>
      </c>
      <c r="AC34" s="696">
        <f t="shared" si="93"/>
        <v>0</v>
      </c>
      <c r="AE34" s="444">
        <f>M34</f>
        <v>0</v>
      </c>
      <c r="AF34" s="444">
        <f>N34</f>
        <v>1826</v>
      </c>
      <c r="AG34" s="444">
        <f>O34</f>
        <v>0</v>
      </c>
      <c r="AH34" s="444">
        <f>P34</f>
        <v>0</v>
      </c>
      <c r="AI34" s="444">
        <f>Q34</f>
        <v>0</v>
      </c>
      <c r="AK34" s="449">
        <f t="shared" si="76"/>
        <v>0</v>
      </c>
      <c r="AL34" s="449">
        <f>AL32-AL102</f>
        <v>13.03</v>
      </c>
      <c r="AM34" s="449">
        <f t="shared" si="77"/>
        <v>0</v>
      </c>
      <c r="AN34" s="449">
        <f t="shared" si="78"/>
        <v>0</v>
      </c>
      <c r="AO34" s="449">
        <f t="shared" si="79"/>
        <v>0</v>
      </c>
      <c r="AQ34" s="68">
        <f t="shared" si="82"/>
        <v>0</v>
      </c>
      <c r="AR34" s="68">
        <f t="shared" si="83"/>
        <v>23792.78</v>
      </c>
      <c r="AS34" s="68">
        <f t="shared" si="84"/>
        <v>0</v>
      </c>
      <c r="AT34" s="68">
        <f t="shared" si="85"/>
        <v>0</v>
      </c>
      <c r="AU34" s="68">
        <f t="shared" si="86"/>
        <v>0</v>
      </c>
      <c r="AV34" s="68">
        <f>SUM(AQ34:AU34)-SUM(Y34:AC34)</f>
        <v>3049.4199999999983</v>
      </c>
      <c r="AW34" s="68"/>
      <c r="AX34" s="454">
        <v>26</v>
      </c>
      <c r="AY34" s="446"/>
      <c r="AZ34" s="446"/>
      <c r="BA34" s="446"/>
      <c r="BB34" s="446"/>
      <c r="BC34" s="446"/>
      <c r="BD34" s="446"/>
      <c r="BE34" s="452">
        <f t="shared" si="73"/>
        <v>0.06</v>
      </c>
      <c r="BF34" s="442"/>
      <c r="BG34" s="442">
        <f t="shared" si="75"/>
        <v>11.59</v>
      </c>
      <c r="BH34" s="442"/>
      <c r="BI34" s="442"/>
      <c r="BJ34" s="442"/>
      <c r="BM34" s="450">
        <f t="shared" si="17"/>
        <v>0</v>
      </c>
      <c r="BN34" s="450">
        <f t="shared" si="18"/>
        <v>13.226752999999999</v>
      </c>
      <c r="BO34" s="450">
        <f t="shared" si="19"/>
        <v>0</v>
      </c>
      <c r="BP34" s="450">
        <f t="shared" si="20"/>
        <v>0</v>
      </c>
      <c r="BQ34" s="450">
        <f t="shared" si="38"/>
        <v>0</v>
      </c>
      <c r="BS34" s="442">
        <f>BM34-AY34</f>
        <v>0</v>
      </c>
      <c r="BT34" s="442">
        <f t="shared" si="87"/>
        <v>13.226752999999999</v>
      </c>
      <c r="BU34" s="442">
        <f t="shared" si="88"/>
        <v>0</v>
      </c>
      <c r="BV34" s="442">
        <f t="shared" si="89"/>
        <v>0</v>
      </c>
      <c r="BW34" s="442">
        <f t="shared" si="90"/>
        <v>0</v>
      </c>
    </row>
    <row r="35" spans="1:106" s="622" customFormat="1">
      <c r="A35" s="486"/>
      <c r="B35" s="714">
        <v>2</v>
      </c>
      <c r="C35" s="715" t="s">
        <v>97</v>
      </c>
      <c r="D35" s="714" t="s">
        <v>613</v>
      </c>
      <c r="E35" s="716">
        <v>10</v>
      </c>
      <c r="F35" s="717"/>
      <c r="G35" s="717" t="str">
        <f t="shared" si="48"/>
        <v>042441T</v>
      </c>
      <c r="H35" s="271"/>
      <c r="I35" t="s">
        <v>105</v>
      </c>
      <c r="J35" t="s">
        <v>86</v>
      </c>
      <c r="K35" s="57" t="s">
        <v>111</v>
      </c>
      <c r="L35" s="91">
        <v>432</v>
      </c>
      <c r="M35" s="67">
        <f t="shared" si="91"/>
        <v>0</v>
      </c>
      <c r="N35" s="67">
        <f t="shared" si="91"/>
        <v>32</v>
      </c>
      <c r="O35" s="67">
        <f t="shared" si="91"/>
        <v>4</v>
      </c>
      <c r="P35" s="67">
        <f t="shared" si="91"/>
        <v>0</v>
      </c>
      <c r="Q35" s="67">
        <f t="shared" si="91"/>
        <v>0</v>
      </c>
      <c r="R35" s="444">
        <f t="shared" ref="R35:R48" si="94">IF(SUM(M35:Q35)&gt;0,0,1)</f>
        <v>0</v>
      </c>
      <c r="S35" s="470">
        <v>0</v>
      </c>
      <c r="T35" s="470">
        <v>30.41</v>
      </c>
      <c r="U35" s="470">
        <v>8.84</v>
      </c>
      <c r="V35" s="470">
        <v>0</v>
      </c>
      <c r="W35" s="470">
        <v>0</v>
      </c>
      <c r="X35"/>
      <c r="Y35" s="68">
        <f>IF(AND(M35&lt;&gt;0,S35=0),#VALUE!,M35*S35)</f>
        <v>0</v>
      </c>
      <c r="Z35" s="68">
        <f>IF(AND(N35&lt;&gt;0,T35=0),#VALUE!,N35*T35)</f>
        <v>973.12</v>
      </c>
      <c r="AA35" s="68">
        <f t="shared" si="93"/>
        <v>35.36</v>
      </c>
      <c r="AB35" s="68">
        <f t="shared" si="93"/>
        <v>0</v>
      </c>
      <c r="AC35" s="68">
        <f t="shared" si="93"/>
        <v>0</v>
      </c>
      <c r="AD35"/>
      <c r="AE35" s="67">
        <f>M35</f>
        <v>0</v>
      </c>
      <c r="AF35" s="67">
        <f t="shared" si="80"/>
        <v>32</v>
      </c>
      <c r="AG35" s="67">
        <f t="shared" si="80"/>
        <v>4</v>
      </c>
      <c r="AH35" s="67">
        <f t="shared" si="80"/>
        <v>0</v>
      </c>
      <c r="AI35" s="67">
        <f t="shared" si="80"/>
        <v>0</v>
      </c>
      <c r="AJ35"/>
      <c r="AK35" s="449">
        <f t="shared" si="76"/>
        <v>0</v>
      </c>
      <c r="AL35" s="449">
        <f>ROUND(T35*(1+AL$1),2)</f>
        <v>33.520000000000003</v>
      </c>
      <c r="AM35" s="449">
        <f t="shared" si="77"/>
        <v>9.81</v>
      </c>
      <c r="AN35" s="449">
        <f t="shared" si="78"/>
        <v>0</v>
      </c>
      <c r="AO35" s="449">
        <f t="shared" si="79"/>
        <v>0</v>
      </c>
      <c r="AP35"/>
      <c r="AQ35" s="68">
        <f t="shared" si="82"/>
        <v>0</v>
      </c>
      <c r="AR35" s="68">
        <f t="shared" ref="AR35:AR51" si="95">IF(AND(AF35&lt;&gt;0,AL35=0),#VALUE!,AF35*AL35)</f>
        <v>1072.6400000000001</v>
      </c>
      <c r="AS35" s="68">
        <f t="shared" si="84"/>
        <v>39.24</v>
      </c>
      <c r="AT35" s="68">
        <f t="shared" si="85"/>
        <v>0</v>
      </c>
      <c r="AU35" s="68">
        <f t="shared" si="86"/>
        <v>0</v>
      </c>
      <c r="AV35" s="68">
        <f t="shared" ref="AV35:AV55" si="96">SUM(AR35)-SUM(Z35)</f>
        <v>99.520000000000095</v>
      </c>
      <c r="AW35" s="400">
        <f t="shared" ref="AW35:AW55" si="97">AV35/Z35</f>
        <v>0.10226899046366336</v>
      </c>
      <c r="AX35" s="392">
        <v>40</v>
      </c>
      <c r="AY35" s="446"/>
      <c r="AZ35" s="446">
        <v>28.331440999999998</v>
      </c>
      <c r="BA35" s="446">
        <v>8.1309509999999996</v>
      </c>
      <c r="BB35" s="446"/>
      <c r="BC35" s="446"/>
      <c r="BD35" s="131"/>
      <c r="BE35" s="452">
        <f t="shared" si="73"/>
        <v>9.000000000000008E-2</v>
      </c>
      <c r="BF35" s="52"/>
      <c r="BG35" s="52">
        <f t="shared" si="75"/>
        <v>2.63</v>
      </c>
      <c r="BH35" s="52">
        <f>ROUND((U35*$BF$2)+$BE35-BA35,2)</f>
        <v>0.93</v>
      </c>
      <c r="BI35" s="52"/>
      <c r="BJ35" s="52"/>
      <c r="BK35"/>
      <c r="BL35"/>
      <c r="BM35" s="450">
        <f t="shared" si="17"/>
        <v>0</v>
      </c>
      <c r="BN35" s="450">
        <f t="shared" si="18"/>
        <v>34.026151999999996</v>
      </c>
      <c r="BO35" s="450">
        <f t="shared" si="19"/>
        <v>9.9581309999999998</v>
      </c>
      <c r="BP35" s="450">
        <f t="shared" si="20"/>
        <v>0</v>
      </c>
      <c r="BQ35" s="450">
        <f t="shared" si="38"/>
        <v>0</v>
      </c>
      <c r="BR35"/>
      <c r="BS35" s="52">
        <f>BM35-AY35</f>
        <v>0</v>
      </c>
      <c r="BT35" s="52">
        <f>BN35-AZ35</f>
        <v>5.6947109999999981</v>
      </c>
      <c r="BU35" s="52">
        <f>BO35-BA35</f>
        <v>1.8271800000000002</v>
      </c>
      <c r="BV35" s="52">
        <f>BP35-BB35</f>
        <v>0</v>
      </c>
      <c r="BW35" s="52">
        <f>BQ35-BC35</f>
        <v>0</v>
      </c>
    </row>
    <row r="36" spans="1:106">
      <c r="A36" s="293"/>
      <c r="B36" s="714">
        <v>2</v>
      </c>
      <c r="C36" s="715" t="s">
        <v>97</v>
      </c>
      <c r="D36" s="714">
        <v>474</v>
      </c>
      <c r="E36" s="716">
        <v>83</v>
      </c>
      <c r="F36" s="717"/>
      <c r="G36" s="717" t="str">
        <f t="shared" si="48"/>
        <v>042474</v>
      </c>
      <c r="H36" s="271"/>
      <c r="I36" s="380" t="s">
        <v>605</v>
      </c>
      <c r="J36" s="441" t="s">
        <v>86</v>
      </c>
      <c r="K36" s="443" t="s">
        <v>109</v>
      </c>
      <c r="L36" s="445" t="s">
        <v>494</v>
      </c>
      <c r="M36" s="444">
        <f t="shared" si="91"/>
        <v>0</v>
      </c>
      <c r="N36" s="444">
        <f t="shared" si="91"/>
        <v>163</v>
      </c>
      <c r="O36" s="444">
        <f t="shared" si="91"/>
        <v>0</v>
      </c>
      <c r="P36" s="444">
        <f t="shared" si="91"/>
        <v>0</v>
      </c>
      <c r="Q36" s="444">
        <f t="shared" si="91"/>
        <v>0</v>
      </c>
      <c r="R36" s="444">
        <f t="shared" si="94"/>
        <v>0</v>
      </c>
      <c r="S36" s="470">
        <v>0</v>
      </c>
      <c r="T36" s="487">
        <v>30.41</v>
      </c>
      <c r="U36" s="470">
        <v>0</v>
      </c>
      <c r="V36" s="470">
        <v>0</v>
      </c>
      <c r="W36" s="470">
        <v>0</v>
      </c>
      <c r="X36" s="441"/>
      <c r="Y36" s="68">
        <f t="shared" ref="Y36:AC37" si="98">IF(AND(M36&lt;&gt;0,S36=0),#VALUE!,M36*S36)</f>
        <v>0</v>
      </c>
      <c r="Z36" s="68">
        <f t="shared" si="98"/>
        <v>4956.83</v>
      </c>
      <c r="AA36" s="68">
        <f t="shared" si="98"/>
        <v>0</v>
      </c>
      <c r="AB36" s="68">
        <f t="shared" si="98"/>
        <v>0</v>
      </c>
      <c r="AC36" s="68">
        <f t="shared" si="98"/>
        <v>0</v>
      </c>
      <c r="AD36" s="441"/>
      <c r="AE36" s="444">
        <f>SUMIF($G:$G,TEXT(AE$3,"000")&amp;TEXT($L36,"000"),$E:$E)</f>
        <v>0</v>
      </c>
      <c r="AF36" s="444">
        <f>SUMIF($G:$G,TEXT(AF$3,"000")&amp;TEXT($L36,"000"),$E:$E)</f>
        <v>163</v>
      </c>
      <c r="AG36" s="444">
        <f>SUMIF($G:$G,TEXT(AG$3,"000")&amp;TEXT($L36,"000"),$E:$E)</f>
        <v>0</v>
      </c>
      <c r="AH36" s="444">
        <f>SUMIF($G:$G,TEXT(AH$3,"000")&amp;TEXT($L36,"000"),$E:$E)</f>
        <v>0</v>
      </c>
      <c r="AI36" s="444">
        <f>SUMIF($G:$G,TEXT(AI$3,"000")&amp;TEXT($L36,"000"),$E:$E)</f>
        <v>0</v>
      </c>
      <c r="AJ36" s="441"/>
      <c r="AK36" s="449">
        <f t="shared" si="76"/>
        <v>0</v>
      </c>
      <c r="AL36" s="449">
        <f>AL35</f>
        <v>33.520000000000003</v>
      </c>
      <c r="AM36" s="449">
        <f t="shared" si="77"/>
        <v>0</v>
      </c>
      <c r="AN36" s="449">
        <f t="shared" si="78"/>
        <v>0</v>
      </c>
      <c r="AO36" s="449">
        <f t="shared" si="79"/>
        <v>0</v>
      </c>
      <c r="AP36" s="441"/>
      <c r="AQ36" s="68">
        <f t="shared" si="82"/>
        <v>0</v>
      </c>
      <c r="AR36" s="68">
        <f t="shared" si="95"/>
        <v>5463.76</v>
      </c>
      <c r="AS36" s="68">
        <f t="shared" si="84"/>
        <v>0</v>
      </c>
      <c r="AT36" s="68">
        <f t="shared" si="85"/>
        <v>0</v>
      </c>
      <c r="AU36" s="68">
        <f t="shared" si="86"/>
        <v>0</v>
      </c>
      <c r="AV36" s="68">
        <f t="shared" si="96"/>
        <v>506.93000000000029</v>
      </c>
      <c r="AW36" s="400">
        <f t="shared" si="97"/>
        <v>0.10226899046366333</v>
      </c>
      <c r="AX36" s="454">
        <v>26</v>
      </c>
      <c r="AY36" s="446"/>
      <c r="AZ36" s="446">
        <v>28.331440999999998</v>
      </c>
      <c r="BA36" s="446"/>
      <c r="BB36" s="446"/>
      <c r="BC36" s="446"/>
      <c r="BD36" s="446"/>
      <c r="BE36" s="452">
        <f t="shared" si="73"/>
        <v>0.06</v>
      </c>
      <c r="BF36" s="442"/>
      <c r="BG36" s="442">
        <f t="shared" si="75"/>
        <v>2.6</v>
      </c>
      <c r="BH36" s="442"/>
      <c r="BI36" s="442"/>
      <c r="BJ36" s="442"/>
      <c r="BK36" s="441"/>
      <c r="BL36" s="441"/>
      <c r="BM36" s="450">
        <f t="shared" si="17"/>
        <v>0</v>
      </c>
      <c r="BN36" s="450">
        <f t="shared" si="18"/>
        <v>34.026151999999996</v>
      </c>
      <c r="BO36" s="450">
        <f t="shared" si="19"/>
        <v>0</v>
      </c>
      <c r="BP36" s="450">
        <f t="shared" si="20"/>
        <v>0</v>
      </c>
      <c r="BQ36" s="450">
        <f t="shared" si="38"/>
        <v>0</v>
      </c>
      <c r="BR36" s="441"/>
      <c r="BS36" s="442">
        <f t="shared" ref="BS36:BW37" si="99">BM36-AY36</f>
        <v>0</v>
      </c>
      <c r="BT36" s="442">
        <f t="shared" si="99"/>
        <v>5.6947109999999981</v>
      </c>
      <c r="BU36" s="442">
        <f t="shared" si="99"/>
        <v>0</v>
      </c>
      <c r="BV36" s="442">
        <f t="shared" si="99"/>
        <v>0</v>
      </c>
      <c r="BW36" s="442">
        <f t="shared" si="99"/>
        <v>0</v>
      </c>
    </row>
    <row r="37" spans="1:106">
      <c r="A37" s="486"/>
      <c r="B37" s="714">
        <v>2</v>
      </c>
      <c r="C37" s="715" t="s">
        <v>97</v>
      </c>
      <c r="D37" s="714" t="s">
        <v>501</v>
      </c>
      <c r="E37" s="716">
        <f>259+6</f>
        <v>265</v>
      </c>
      <c r="F37" s="717"/>
      <c r="G37" s="717" t="str">
        <f t="shared" si="48"/>
        <v>042474L</v>
      </c>
      <c r="H37" s="847"/>
      <c r="I37" s="485" t="s">
        <v>605</v>
      </c>
      <c r="J37" s="485" t="s">
        <v>86</v>
      </c>
      <c r="K37" s="443" t="s">
        <v>109</v>
      </c>
      <c r="L37" s="445" t="s">
        <v>598</v>
      </c>
      <c r="M37" s="444">
        <f t="shared" si="91"/>
        <v>0</v>
      </c>
      <c r="N37" s="444">
        <f t="shared" si="91"/>
        <v>28</v>
      </c>
      <c r="O37" s="444">
        <f t="shared" si="91"/>
        <v>0</v>
      </c>
      <c r="P37" s="444">
        <f t="shared" si="91"/>
        <v>0</v>
      </c>
      <c r="Q37" s="444">
        <f t="shared" si="91"/>
        <v>0</v>
      </c>
      <c r="R37" s="444">
        <f t="shared" si="94"/>
        <v>0</v>
      </c>
      <c r="S37" s="470">
        <v>0</v>
      </c>
      <c r="T37" s="487">
        <v>25.490000000000002</v>
      </c>
      <c r="U37" s="470">
        <v>0</v>
      </c>
      <c r="V37" s="470">
        <v>0</v>
      </c>
      <c r="W37" s="470">
        <v>0</v>
      </c>
      <c r="X37" s="485"/>
      <c r="Y37" s="68">
        <f t="shared" si="98"/>
        <v>0</v>
      </c>
      <c r="Z37" s="68">
        <f>IF(AND(N37&lt;&gt;0,T37=0),#VALUE!,N37*T37)</f>
        <v>713.72</v>
      </c>
      <c r="AA37" s="68">
        <f t="shared" si="98"/>
        <v>0</v>
      </c>
      <c r="AB37" s="68">
        <f t="shared" si="98"/>
        <v>0</v>
      </c>
      <c r="AC37" s="68">
        <f t="shared" si="98"/>
        <v>0</v>
      </c>
      <c r="AD37" s="485"/>
      <c r="AE37" s="444">
        <f t="shared" ref="AE37:AI38" si="100">M37</f>
        <v>0</v>
      </c>
      <c r="AF37" s="444">
        <f t="shared" si="100"/>
        <v>28</v>
      </c>
      <c r="AG37" s="444">
        <f t="shared" si="100"/>
        <v>0</v>
      </c>
      <c r="AH37" s="444">
        <f t="shared" si="100"/>
        <v>0</v>
      </c>
      <c r="AI37" s="444">
        <f t="shared" si="100"/>
        <v>0</v>
      </c>
      <c r="AJ37" s="485"/>
      <c r="AK37" s="449">
        <f t="shared" si="76"/>
        <v>0</v>
      </c>
      <c r="AL37" s="449">
        <f>AL36-AL102</f>
        <v>28.6</v>
      </c>
      <c r="AM37" s="449">
        <f t="shared" si="77"/>
        <v>0</v>
      </c>
      <c r="AN37" s="449">
        <f t="shared" si="78"/>
        <v>0</v>
      </c>
      <c r="AO37" s="449">
        <f t="shared" si="79"/>
        <v>0</v>
      </c>
      <c r="AP37" s="485"/>
      <c r="AQ37" s="68">
        <f t="shared" si="82"/>
        <v>0</v>
      </c>
      <c r="AR37" s="68">
        <f t="shared" si="95"/>
        <v>800.80000000000007</v>
      </c>
      <c r="AS37" s="68">
        <f t="shared" si="84"/>
        <v>0</v>
      </c>
      <c r="AT37" s="68">
        <f t="shared" si="85"/>
        <v>0</v>
      </c>
      <c r="AU37" s="68">
        <f t="shared" si="86"/>
        <v>0</v>
      </c>
      <c r="AV37" s="68">
        <f t="shared" si="96"/>
        <v>87.080000000000041</v>
      </c>
      <c r="AW37" s="400">
        <f t="shared" si="97"/>
        <v>0.12200863083562187</v>
      </c>
      <c r="AX37" s="454">
        <v>26</v>
      </c>
      <c r="AY37" s="446"/>
      <c r="AZ37" s="446">
        <v>23.022467999999996</v>
      </c>
      <c r="BA37" s="446"/>
      <c r="BB37" s="446"/>
      <c r="BC37" s="446"/>
      <c r="BD37" s="446"/>
      <c r="BE37" s="452">
        <f t="shared" si="73"/>
        <v>0.06</v>
      </c>
      <c r="BF37" s="442"/>
      <c r="BG37" s="442">
        <f t="shared" si="75"/>
        <v>2.91</v>
      </c>
      <c r="BH37" s="442"/>
      <c r="BI37" s="442"/>
      <c r="BJ37" s="442"/>
      <c r="BK37" s="485"/>
      <c r="BL37" s="485"/>
      <c r="BM37" s="450">
        <f t="shared" si="17"/>
        <v>0</v>
      </c>
      <c r="BN37" s="450">
        <f t="shared" si="18"/>
        <v>29.031859999999998</v>
      </c>
      <c r="BO37" s="450">
        <f t="shared" si="19"/>
        <v>0</v>
      </c>
      <c r="BP37" s="450">
        <f t="shared" si="20"/>
        <v>0</v>
      </c>
      <c r="BQ37" s="450">
        <f t="shared" si="38"/>
        <v>0</v>
      </c>
      <c r="BR37" s="485"/>
      <c r="BS37" s="442">
        <f t="shared" si="99"/>
        <v>0</v>
      </c>
      <c r="BT37" s="442">
        <f t="shared" si="99"/>
        <v>6.0093920000000018</v>
      </c>
      <c r="BU37" s="442">
        <f t="shared" si="99"/>
        <v>0</v>
      </c>
      <c r="BV37" s="442">
        <f t="shared" si="99"/>
        <v>0</v>
      </c>
      <c r="BW37" s="442">
        <f t="shared" si="99"/>
        <v>0</v>
      </c>
      <c r="BX37" s="441"/>
      <c r="BY37" s="441"/>
      <c r="BZ37" s="441"/>
      <c r="CA37" s="441"/>
      <c r="CB37" s="441"/>
      <c r="CM37" s="455"/>
      <c r="CN37" s="455"/>
      <c r="CO37" s="455"/>
      <c r="CP37" s="455"/>
      <c r="CQ37" s="455"/>
      <c r="CR37" s="455"/>
      <c r="CS37" s="455"/>
      <c r="CT37" s="455"/>
      <c r="CU37" s="455"/>
      <c r="CV37" s="455"/>
    </row>
    <row r="38" spans="1:106">
      <c r="A38" s="455"/>
      <c r="B38" s="714">
        <v>2</v>
      </c>
      <c r="C38" s="715" t="s">
        <v>97</v>
      </c>
      <c r="D38" s="714">
        <v>475</v>
      </c>
      <c r="E38" s="716">
        <v>0</v>
      </c>
      <c r="F38" s="717"/>
      <c r="G38" s="717" t="str">
        <f t="shared" si="48"/>
        <v>042475</v>
      </c>
      <c r="H38" s="271"/>
      <c r="I38" t="s">
        <v>105</v>
      </c>
      <c r="J38" t="s">
        <v>87</v>
      </c>
      <c r="K38" s="57" t="s">
        <v>111</v>
      </c>
      <c r="L38" s="91">
        <v>433</v>
      </c>
      <c r="M38" s="67">
        <f t="shared" si="91"/>
        <v>0</v>
      </c>
      <c r="N38" s="67">
        <f t="shared" si="91"/>
        <v>7</v>
      </c>
      <c r="O38" s="67">
        <f t="shared" si="91"/>
        <v>10</v>
      </c>
      <c r="P38" s="67">
        <f t="shared" si="91"/>
        <v>0</v>
      </c>
      <c r="Q38" s="67">
        <f t="shared" si="91"/>
        <v>0</v>
      </c>
      <c r="R38" s="444">
        <f t="shared" si="94"/>
        <v>0</v>
      </c>
      <c r="S38" s="470">
        <v>0</v>
      </c>
      <c r="T38" s="470">
        <v>30.41</v>
      </c>
      <c r="U38" s="470">
        <v>8.84</v>
      </c>
      <c r="V38" s="470">
        <v>0</v>
      </c>
      <c r="W38" s="470">
        <v>0</v>
      </c>
      <c r="Y38" s="68">
        <f>IF(AND(M38&lt;&gt;0,S38=0),#VALUE!,M38*S38)</f>
        <v>0</v>
      </c>
      <c r="Z38" s="68">
        <f>IF(AND(N38&lt;&gt;0,T38=0),#VALUE!,N38*T38)</f>
        <v>212.87</v>
      </c>
      <c r="AA38" s="68">
        <f>IF(AND(O38&lt;&gt;0,U38=0),#VALUE!,O38*U38)</f>
        <v>88.4</v>
      </c>
      <c r="AB38" s="68">
        <f>IF(AND(P38&lt;&gt;0,V38=0),#VALUE!,P38*V38)</f>
        <v>0</v>
      </c>
      <c r="AC38" s="68">
        <f>IF(AND(Q38&lt;&gt;0,W38=0),#VALUE!,Q38*W38)</f>
        <v>0</v>
      </c>
      <c r="AE38" s="67">
        <f t="shared" si="100"/>
        <v>0</v>
      </c>
      <c r="AF38" s="67">
        <f t="shared" si="100"/>
        <v>7</v>
      </c>
      <c r="AG38" s="67">
        <f t="shared" si="100"/>
        <v>10</v>
      </c>
      <c r="AH38" s="67">
        <f t="shared" si="100"/>
        <v>0</v>
      </c>
      <c r="AI38" s="67">
        <f t="shared" si="100"/>
        <v>0</v>
      </c>
      <c r="AK38" s="449">
        <f t="shared" si="76"/>
        <v>0</v>
      </c>
      <c r="AL38" s="449">
        <f>ROUND(T38*(1+AL$1),2)</f>
        <v>33.520000000000003</v>
      </c>
      <c r="AM38" s="449">
        <f t="shared" si="77"/>
        <v>9.81</v>
      </c>
      <c r="AN38" s="449">
        <f t="shared" si="78"/>
        <v>0</v>
      </c>
      <c r="AO38" s="449">
        <f t="shared" si="79"/>
        <v>0</v>
      </c>
      <c r="AQ38" s="68">
        <f t="shared" si="82"/>
        <v>0</v>
      </c>
      <c r="AR38" s="68">
        <f t="shared" si="95"/>
        <v>234.64000000000001</v>
      </c>
      <c r="AS38" s="68">
        <f t="shared" si="84"/>
        <v>98.100000000000009</v>
      </c>
      <c r="AT38" s="68">
        <f t="shared" si="85"/>
        <v>0</v>
      </c>
      <c r="AU38" s="68">
        <f t="shared" si="86"/>
        <v>0</v>
      </c>
      <c r="AV38" s="68">
        <f t="shared" si="96"/>
        <v>21.77000000000001</v>
      </c>
      <c r="AW38" s="400">
        <f t="shared" si="97"/>
        <v>0.10226899046366332</v>
      </c>
      <c r="AX38" s="392">
        <v>40</v>
      </c>
      <c r="AY38" s="446"/>
      <c r="AZ38" s="446">
        <v>28.331440999999998</v>
      </c>
      <c r="BA38" s="446">
        <v>8.1309509999999996</v>
      </c>
      <c r="BB38" s="446"/>
      <c r="BC38" s="446"/>
      <c r="BD38" s="131"/>
      <c r="BE38" s="452">
        <f t="shared" si="73"/>
        <v>9.000000000000008E-2</v>
      </c>
      <c r="BF38" s="52"/>
      <c r="BG38" s="52">
        <f t="shared" si="75"/>
        <v>2.63</v>
      </c>
      <c r="BH38" s="52">
        <f>ROUND((U38*$BF$2)+$BE38-BA38,2)</f>
        <v>0.93</v>
      </c>
      <c r="BI38" s="52"/>
      <c r="BJ38" s="52"/>
      <c r="BM38" s="450">
        <f t="shared" si="17"/>
        <v>0</v>
      </c>
      <c r="BN38" s="450">
        <f t="shared" si="18"/>
        <v>34.026151999999996</v>
      </c>
      <c r="BO38" s="450">
        <f t="shared" si="19"/>
        <v>9.9581309999999998</v>
      </c>
      <c r="BP38" s="450">
        <f t="shared" si="20"/>
        <v>0</v>
      </c>
      <c r="BQ38" s="450">
        <f t="shared" si="38"/>
        <v>0</v>
      </c>
      <c r="BS38" s="52">
        <f>BM38-AY38</f>
        <v>0</v>
      </c>
      <c r="BT38" s="52">
        <f>BN38-AZ38</f>
        <v>5.6947109999999981</v>
      </c>
      <c r="BU38" s="52">
        <f>BO38-BA38</f>
        <v>1.8271800000000002</v>
      </c>
      <c r="BV38" s="52">
        <f>BP38-BB38</f>
        <v>0</v>
      </c>
      <c r="BW38" s="52">
        <f>BQ38-BC38</f>
        <v>0</v>
      </c>
      <c r="BX38" s="485"/>
      <c r="BY38" s="485"/>
      <c r="BZ38" s="485"/>
      <c r="CA38" s="485"/>
      <c r="CB38" s="485"/>
      <c r="CC38" s="485"/>
      <c r="CD38" s="485"/>
      <c r="CE38" s="485"/>
      <c r="CF38" s="485"/>
      <c r="CG38" s="485"/>
      <c r="CH38" s="485"/>
      <c r="CI38" s="485"/>
      <c r="CJ38" s="485"/>
    </row>
    <row r="39" spans="1:106">
      <c r="B39" s="714">
        <v>3</v>
      </c>
      <c r="C39" s="715" t="s">
        <v>97</v>
      </c>
      <c r="D39" s="714">
        <v>478</v>
      </c>
      <c r="E39" s="716">
        <v>0</v>
      </c>
      <c r="F39" s="717"/>
      <c r="G39" s="717" t="str">
        <f t="shared" si="48"/>
        <v>042478</v>
      </c>
      <c r="H39" s="271"/>
      <c r="I39" s="380" t="s">
        <v>605</v>
      </c>
      <c r="J39" s="441" t="s">
        <v>87</v>
      </c>
      <c r="K39" s="443" t="s">
        <v>109</v>
      </c>
      <c r="L39" s="445" t="s">
        <v>495</v>
      </c>
      <c r="M39" s="444">
        <f t="shared" si="91"/>
        <v>0</v>
      </c>
      <c r="N39" s="444">
        <f t="shared" si="91"/>
        <v>73</v>
      </c>
      <c r="O39" s="444">
        <f t="shared" si="91"/>
        <v>0</v>
      </c>
      <c r="P39" s="444">
        <f t="shared" si="91"/>
        <v>0</v>
      </c>
      <c r="Q39" s="444">
        <f t="shared" si="91"/>
        <v>0</v>
      </c>
      <c r="R39" s="444">
        <f t="shared" si="94"/>
        <v>0</v>
      </c>
      <c r="S39" s="470">
        <v>0</v>
      </c>
      <c r="T39" s="487">
        <v>30.41</v>
      </c>
      <c r="U39" s="470">
        <v>0</v>
      </c>
      <c r="V39" s="470">
        <v>0</v>
      </c>
      <c r="W39" s="470">
        <v>0</v>
      </c>
      <c r="X39" s="441"/>
      <c r="Y39" s="68">
        <f t="shared" ref="Y39:AC40" si="101">IF(AND(M39&lt;&gt;0,S39=0),#VALUE!,M39*S39)</f>
        <v>0</v>
      </c>
      <c r="Z39" s="68">
        <f t="shared" si="101"/>
        <v>2219.9299999999998</v>
      </c>
      <c r="AA39" s="68">
        <f t="shared" si="101"/>
        <v>0</v>
      </c>
      <c r="AB39" s="68">
        <f t="shared" si="101"/>
        <v>0</v>
      </c>
      <c r="AC39" s="68">
        <f t="shared" si="101"/>
        <v>0</v>
      </c>
      <c r="AD39" s="441"/>
      <c r="AE39" s="444">
        <f>SUMIF($G:$G,TEXT(AE$3,"000")&amp;TEXT($L39,"000"),$E:$E)</f>
        <v>0</v>
      </c>
      <c r="AF39" s="444">
        <f>SUMIF($G:$G,TEXT(AF$3,"000")&amp;TEXT($L39,"000"),$E:$E)</f>
        <v>73</v>
      </c>
      <c r="AG39" s="444">
        <f>SUMIF($G:$G,TEXT(AG$3,"000")&amp;TEXT($L39,"000"),$E:$E)</f>
        <v>0</v>
      </c>
      <c r="AH39" s="444">
        <f>SUMIF($G:$G,TEXT(AH$3,"000")&amp;TEXT($L39,"000"),$E:$E)</f>
        <v>0</v>
      </c>
      <c r="AI39" s="444">
        <f>SUMIF($G:$G,TEXT(AI$3,"000")&amp;TEXT($L39,"000"),$E:$E)</f>
        <v>0</v>
      </c>
      <c r="AJ39" s="441"/>
      <c r="AK39" s="449">
        <f t="shared" si="76"/>
        <v>0</v>
      </c>
      <c r="AL39" s="449">
        <f>AL38</f>
        <v>33.520000000000003</v>
      </c>
      <c r="AM39" s="449">
        <f t="shared" si="77"/>
        <v>0</v>
      </c>
      <c r="AN39" s="449">
        <f t="shared" si="78"/>
        <v>0</v>
      </c>
      <c r="AO39" s="449">
        <f t="shared" si="79"/>
        <v>0</v>
      </c>
      <c r="AP39" s="441"/>
      <c r="AQ39" s="68">
        <f t="shared" si="82"/>
        <v>0</v>
      </c>
      <c r="AR39" s="68">
        <f t="shared" si="95"/>
        <v>2446.96</v>
      </c>
      <c r="AS39" s="68">
        <f t="shared" si="84"/>
        <v>0</v>
      </c>
      <c r="AT39" s="68">
        <f t="shared" si="85"/>
        <v>0</v>
      </c>
      <c r="AU39" s="68">
        <f t="shared" si="86"/>
        <v>0</v>
      </c>
      <c r="AV39" s="68">
        <f t="shared" si="96"/>
        <v>227.0300000000002</v>
      </c>
      <c r="AW39" s="400">
        <f t="shared" si="97"/>
        <v>0.10226899046366336</v>
      </c>
      <c r="AX39" s="454">
        <v>26</v>
      </c>
      <c r="AY39" s="446"/>
      <c r="AZ39" s="446">
        <v>28.331440999999998</v>
      </c>
      <c r="BA39" s="446"/>
      <c r="BB39" s="446"/>
      <c r="BC39" s="446"/>
      <c r="BD39" s="446"/>
      <c r="BE39" s="452">
        <f t="shared" si="73"/>
        <v>0.06</v>
      </c>
      <c r="BF39" s="442"/>
      <c r="BG39" s="442">
        <f t="shared" si="75"/>
        <v>2.6</v>
      </c>
      <c r="BH39" s="442"/>
      <c r="BI39" s="442"/>
      <c r="BJ39" s="442"/>
      <c r="BK39" s="441"/>
      <c r="BL39" s="441"/>
      <c r="BM39" s="450">
        <f t="shared" si="17"/>
        <v>0</v>
      </c>
      <c r="BN39" s="450">
        <f t="shared" si="18"/>
        <v>34.026151999999996</v>
      </c>
      <c r="BO39" s="450">
        <f t="shared" si="19"/>
        <v>0</v>
      </c>
      <c r="BP39" s="450">
        <f t="shared" si="20"/>
        <v>0</v>
      </c>
      <c r="BQ39" s="450">
        <f t="shared" si="38"/>
        <v>0</v>
      </c>
      <c r="BR39" s="441"/>
      <c r="BS39" s="442">
        <f t="shared" ref="BS39:BW40" si="102">BM39-AY39</f>
        <v>0</v>
      </c>
      <c r="BT39" s="442">
        <f t="shared" si="102"/>
        <v>5.6947109999999981</v>
      </c>
      <c r="BU39" s="442">
        <f t="shared" si="102"/>
        <v>0</v>
      </c>
      <c r="BV39" s="442">
        <f t="shared" si="102"/>
        <v>0</v>
      </c>
      <c r="BW39" s="442">
        <f t="shared" si="102"/>
        <v>0</v>
      </c>
    </row>
    <row r="40" spans="1:106">
      <c r="B40" s="714">
        <v>2</v>
      </c>
      <c r="C40" s="715" t="s">
        <v>97</v>
      </c>
      <c r="D40" s="714">
        <v>484</v>
      </c>
      <c r="E40" s="716">
        <v>46</v>
      </c>
      <c r="F40" s="717"/>
      <c r="G40" s="717" t="str">
        <f t="shared" si="48"/>
        <v>042484</v>
      </c>
      <c r="H40" s="271"/>
      <c r="I40" s="485" t="s">
        <v>605</v>
      </c>
      <c r="J40" s="485" t="s">
        <v>87</v>
      </c>
      <c r="K40" s="443" t="s">
        <v>109</v>
      </c>
      <c r="L40" s="445" t="s">
        <v>599</v>
      </c>
      <c r="M40" s="444">
        <f t="shared" si="91"/>
        <v>0</v>
      </c>
      <c r="N40" s="444">
        <f t="shared" si="91"/>
        <v>67</v>
      </c>
      <c r="O40" s="444">
        <f t="shared" si="91"/>
        <v>0</v>
      </c>
      <c r="P40" s="444">
        <f t="shared" si="91"/>
        <v>0</v>
      </c>
      <c r="Q40" s="444">
        <f t="shared" si="91"/>
        <v>0</v>
      </c>
      <c r="R40" s="444">
        <f t="shared" si="94"/>
        <v>0</v>
      </c>
      <c r="S40" s="470">
        <v>0</v>
      </c>
      <c r="T40" s="487">
        <v>25.490000000000002</v>
      </c>
      <c r="U40" s="470">
        <v>0</v>
      </c>
      <c r="V40" s="470">
        <v>0</v>
      </c>
      <c r="W40" s="470">
        <v>0</v>
      </c>
      <c r="X40" s="485"/>
      <c r="Y40" s="68">
        <f t="shared" si="101"/>
        <v>0</v>
      </c>
      <c r="Z40" s="68">
        <f t="shared" si="101"/>
        <v>1707.8300000000002</v>
      </c>
      <c r="AA40" s="68">
        <f t="shared" si="101"/>
        <v>0</v>
      </c>
      <c r="AB40" s="68">
        <f t="shared" si="101"/>
        <v>0</v>
      </c>
      <c r="AC40" s="68">
        <f t="shared" si="101"/>
        <v>0</v>
      </c>
      <c r="AD40" s="485"/>
      <c r="AE40" s="444">
        <f t="shared" ref="AE40:AI41" si="103">M40</f>
        <v>0</v>
      </c>
      <c r="AF40" s="444">
        <f t="shared" si="103"/>
        <v>67</v>
      </c>
      <c r="AG40" s="444">
        <f t="shared" si="103"/>
        <v>0</v>
      </c>
      <c r="AH40" s="444">
        <f t="shared" si="103"/>
        <v>0</v>
      </c>
      <c r="AI40" s="444">
        <f t="shared" si="103"/>
        <v>0</v>
      </c>
      <c r="AJ40" s="485"/>
      <c r="AK40" s="449">
        <f t="shared" si="76"/>
        <v>0</v>
      </c>
      <c r="AL40" s="449">
        <f>AL39-AL102</f>
        <v>28.6</v>
      </c>
      <c r="AM40" s="449">
        <f t="shared" si="77"/>
        <v>0</v>
      </c>
      <c r="AN40" s="449">
        <f t="shared" si="78"/>
        <v>0</v>
      </c>
      <c r="AO40" s="449">
        <f t="shared" si="79"/>
        <v>0</v>
      </c>
      <c r="AP40" s="485"/>
      <c r="AQ40" s="68">
        <f t="shared" si="82"/>
        <v>0</v>
      </c>
      <c r="AR40" s="68">
        <f t="shared" si="95"/>
        <v>1916.2</v>
      </c>
      <c r="AS40" s="68">
        <f t="shared" si="84"/>
        <v>0</v>
      </c>
      <c r="AT40" s="68">
        <f t="shared" si="85"/>
        <v>0</v>
      </c>
      <c r="AU40" s="68">
        <f t="shared" si="86"/>
        <v>0</v>
      </c>
      <c r="AV40" s="68">
        <f t="shared" si="96"/>
        <v>208.36999999999989</v>
      </c>
      <c r="AW40" s="400">
        <f t="shared" si="97"/>
        <v>0.12200863083562173</v>
      </c>
      <c r="AX40" s="454">
        <v>26</v>
      </c>
      <c r="AY40" s="446"/>
      <c r="AZ40" s="446">
        <v>23.022467999999996</v>
      </c>
      <c r="BA40" s="446"/>
      <c r="BB40" s="446"/>
      <c r="BC40" s="446"/>
      <c r="BD40" s="446"/>
      <c r="BE40" s="452">
        <f t="shared" si="73"/>
        <v>0.06</v>
      </c>
      <c r="BF40" s="442"/>
      <c r="BG40" s="442">
        <f t="shared" si="75"/>
        <v>2.91</v>
      </c>
      <c r="BH40" s="442"/>
      <c r="BI40" s="442"/>
      <c r="BJ40" s="442"/>
      <c r="BK40" s="485"/>
      <c r="BL40" s="485"/>
      <c r="BM40" s="450">
        <f t="shared" si="17"/>
        <v>0</v>
      </c>
      <c r="BN40" s="450">
        <f t="shared" si="18"/>
        <v>29.031859999999998</v>
      </c>
      <c r="BO40" s="450">
        <f t="shared" si="19"/>
        <v>0</v>
      </c>
      <c r="BP40" s="450">
        <f t="shared" si="20"/>
        <v>0</v>
      </c>
      <c r="BQ40" s="450">
        <f t="shared" si="38"/>
        <v>0</v>
      </c>
      <c r="BR40" s="485"/>
      <c r="BS40" s="442">
        <f t="shared" si="102"/>
        <v>0</v>
      </c>
      <c r="BT40" s="442">
        <f t="shared" si="102"/>
        <v>6.0093920000000018</v>
      </c>
      <c r="BU40" s="442">
        <f t="shared" si="102"/>
        <v>0</v>
      </c>
      <c r="BV40" s="442">
        <f t="shared" si="102"/>
        <v>0</v>
      </c>
      <c r="BW40" s="442">
        <f t="shared" si="102"/>
        <v>0</v>
      </c>
      <c r="BX40" s="441"/>
      <c r="BY40" s="441"/>
      <c r="BZ40" s="441"/>
      <c r="CA40" s="441"/>
      <c r="CB40" s="441"/>
      <c r="CL40" s="455"/>
      <c r="CZ40" s="486"/>
      <c r="DA40" s="486"/>
      <c r="DB40" s="486"/>
    </row>
    <row r="41" spans="1:106">
      <c r="A41" s="486"/>
      <c r="B41" s="714">
        <v>2</v>
      </c>
      <c r="C41" s="715" t="s">
        <v>97</v>
      </c>
      <c r="D41" s="714" t="s">
        <v>502</v>
      </c>
      <c r="E41" s="716">
        <v>127</v>
      </c>
      <c r="F41" s="717"/>
      <c r="G41" s="717" t="str">
        <f t="shared" si="48"/>
        <v>042484L</v>
      </c>
      <c r="H41" s="271"/>
      <c r="I41" t="s">
        <v>105</v>
      </c>
      <c r="J41" t="s">
        <v>87</v>
      </c>
      <c r="K41" s="57" t="s">
        <v>111</v>
      </c>
      <c r="L41" s="91">
        <v>434</v>
      </c>
      <c r="M41" s="67">
        <f t="shared" si="91"/>
        <v>0</v>
      </c>
      <c r="N41" s="67">
        <f t="shared" si="91"/>
        <v>1085</v>
      </c>
      <c r="O41" s="67">
        <f t="shared" si="91"/>
        <v>0</v>
      </c>
      <c r="P41" s="67">
        <f t="shared" si="91"/>
        <v>0</v>
      </c>
      <c r="Q41" s="67">
        <f t="shared" si="91"/>
        <v>0</v>
      </c>
      <c r="R41" s="444">
        <f t="shared" si="94"/>
        <v>0</v>
      </c>
      <c r="S41" s="470">
        <v>0</v>
      </c>
      <c r="T41" s="470">
        <v>17.14</v>
      </c>
      <c r="U41" s="470">
        <v>0</v>
      </c>
      <c r="V41" s="470">
        <v>0</v>
      </c>
      <c r="W41" s="470">
        <v>0</v>
      </c>
      <c r="Y41" s="68">
        <f t="shared" ref="Y41:AC43" si="104">IF(AND(M41&lt;&gt;0,S41=0),#VALUE!,M41*S41)</f>
        <v>0</v>
      </c>
      <c r="Z41" s="68">
        <f t="shared" si="104"/>
        <v>18596.900000000001</v>
      </c>
      <c r="AA41" s="68">
        <f t="shared" si="104"/>
        <v>0</v>
      </c>
      <c r="AB41" s="68">
        <f t="shared" si="104"/>
        <v>0</v>
      </c>
      <c r="AC41" s="68">
        <f t="shared" si="104"/>
        <v>0</v>
      </c>
      <c r="AE41" s="67">
        <f t="shared" si="103"/>
        <v>0</v>
      </c>
      <c r="AF41" s="67">
        <f t="shared" si="103"/>
        <v>1085</v>
      </c>
      <c r="AG41" s="67">
        <f t="shared" si="103"/>
        <v>0</v>
      </c>
      <c r="AH41" s="67">
        <f t="shared" si="103"/>
        <v>0</v>
      </c>
      <c r="AI41" s="67">
        <f t="shared" si="103"/>
        <v>0</v>
      </c>
      <c r="AK41" s="449">
        <f t="shared" si="76"/>
        <v>0</v>
      </c>
      <c r="AL41" s="449">
        <f>ROUND(T41*(1+AL$1),2)</f>
        <v>18.899999999999999</v>
      </c>
      <c r="AM41" s="449">
        <f t="shared" si="77"/>
        <v>0</v>
      </c>
      <c r="AN41" s="449">
        <f t="shared" si="78"/>
        <v>0</v>
      </c>
      <c r="AO41" s="449">
        <f t="shared" si="79"/>
        <v>0</v>
      </c>
      <c r="AQ41" s="68">
        <f t="shared" si="82"/>
        <v>0</v>
      </c>
      <c r="AR41" s="68">
        <f t="shared" si="95"/>
        <v>20506.5</v>
      </c>
      <c r="AS41" s="68">
        <f t="shared" si="84"/>
        <v>0</v>
      </c>
      <c r="AT41" s="68">
        <f t="shared" si="85"/>
        <v>0</v>
      </c>
      <c r="AU41" s="68">
        <f t="shared" si="86"/>
        <v>0</v>
      </c>
      <c r="AV41" s="68">
        <f t="shared" si="96"/>
        <v>1909.5999999999985</v>
      </c>
      <c r="AW41" s="400">
        <f t="shared" si="97"/>
        <v>0.10268378063010493</v>
      </c>
      <c r="AX41" s="392">
        <v>40</v>
      </c>
      <c r="AY41" s="446"/>
      <c r="AZ41" s="446">
        <v>15.977673999999999</v>
      </c>
      <c r="BA41" s="446"/>
      <c r="BB41" s="446"/>
      <c r="BC41" s="446"/>
      <c r="BD41" s="131"/>
      <c r="BE41" s="452">
        <f t="shared" si="73"/>
        <v>9.000000000000008E-2</v>
      </c>
      <c r="BF41" s="52"/>
      <c r="BG41" s="52">
        <f t="shared" si="75"/>
        <v>1.51</v>
      </c>
      <c r="BH41" s="52"/>
      <c r="BI41" s="52"/>
      <c r="BJ41" s="52"/>
      <c r="BM41" s="450">
        <f t="shared" si="17"/>
        <v>0</v>
      </c>
      <c r="BN41" s="450">
        <f t="shared" si="18"/>
        <v>19.185389999999998</v>
      </c>
      <c r="BO41" s="450">
        <f t="shared" si="19"/>
        <v>0</v>
      </c>
      <c r="BP41" s="450">
        <f t="shared" si="20"/>
        <v>0</v>
      </c>
      <c r="BQ41" s="450">
        <f t="shared" si="38"/>
        <v>0</v>
      </c>
      <c r="BS41" s="52">
        <f t="shared" ref="BS41:BW43" si="105">BM41-AY41</f>
        <v>0</v>
      </c>
      <c r="BT41" s="52">
        <f t="shared" si="105"/>
        <v>3.2077159999999996</v>
      </c>
      <c r="BU41" s="52">
        <f t="shared" si="105"/>
        <v>0</v>
      </c>
      <c r="BV41" s="52">
        <f t="shared" si="105"/>
        <v>0</v>
      </c>
      <c r="BW41" s="52">
        <f t="shared" si="105"/>
        <v>0</v>
      </c>
      <c r="BX41" s="485"/>
      <c r="BY41" s="485"/>
      <c r="BZ41" s="485"/>
      <c r="CA41" s="485"/>
      <c r="CB41" s="485"/>
      <c r="CC41" s="485"/>
      <c r="CD41" s="485"/>
      <c r="CE41" s="485"/>
      <c r="CF41" s="485"/>
      <c r="CG41" s="485"/>
      <c r="CH41" s="485"/>
      <c r="CI41" s="485"/>
      <c r="CJ41" s="485"/>
      <c r="CK41" s="485"/>
    </row>
    <row r="42" spans="1:106">
      <c r="A42" s="622"/>
      <c r="B42" s="714">
        <v>2</v>
      </c>
      <c r="C42" s="715" t="s">
        <v>97</v>
      </c>
      <c r="D42" s="500" t="s">
        <v>674</v>
      </c>
      <c r="E42" s="716">
        <v>43</v>
      </c>
      <c r="F42" s="717"/>
      <c r="G42" s="717" t="str">
        <f t="shared" ref="G42" si="106">IF(OR(ISBLANK(C42),ISBLANK(D42)),"",TEXT(C42,"000")&amp;TEXT(D42,"000"))</f>
        <v>042494L</v>
      </c>
      <c r="H42" s="271"/>
      <c r="I42" s="380" t="s">
        <v>605</v>
      </c>
      <c r="J42" s="441" t="s">
        <v>87</v>
      </c>
      <c r="K42" s="443" t="s">
        <v>109</v>
      </c>
      <c r="L42" s="445" t="s">
        <v>496</v>
      </c>
      <c r="M42" s="444">
        <f t="shared" si="91"/>
        <v>0</v>
      </c>
      <c r="N42" s="444">
        <f t="shared" si="91"/>
        <v>2446</v>
      </c>
      <c r="O42" s="444">
        <f t="shared" si="91"/>
        <v>0</v>
      </c>
      <c r="P42" s="444">
        <f t="shared" si="91"/>
        <v>0</v>
      </c>
      <c r="Q42" s="444">
        <f t="shared" si="91"/>
        <v>0</v>
      </c>
      <c r="R42" s="444">
        <f t="shared" si="94"/>
        <v>0</v>
      </c>
      <c r="S42" s="470">
        <v>0</v>
      </c>
      <c r="T42" s="487">
        <v>17.14</v>
      </c>
      <c r="U42" s="470">
        <v>0</v>
      </c>
      <c r="V42" s="470">
        <v>0</v>
      </c>
      <c r="W42" s="470">
        <v>0</v>
      </c>
      <c r="X42" s="441"/>
      <c r="Y42" s="68">
        <f t="shared" si="104"/>
        <v>0</v>
      </c>
      <c r="Z42" s="68">
        <f t="shared" si="104"/>
        <v>41924.44</v>
      </c>
      <c r="AA42" s="68">
        <f t="shared" si="104"/>
        <v>0</v>
      </c>
      <c r="AB42" s="68">
        <f t="shared" si="104"/>
        <v>0</v>
      </c>
      <c r="AC42" s="68">
        <f t="shared" si="104"/>
        <v>0</v>
      </c>
      <c r="AD42" s="441"/>
      <c r="AE42" s="444">
        <f>SUMIF($G:$G,TEXT(AE$3,"000")&amp;TEXT($L42,"000"),$E:$E)</f>
        <v>0</v>
      </c>
      <c r="AF42" s="444">
        <f>SUMIF($G:$G,TEXT(AF$3,"000")&amp;TEXT($L42,"000"),$E:$E)</f>
        <v>2446</v>
      </c>
      <c r="AG42" s="444">
        <f>SUMIF($G:$G,TEXT(AG$3,"000")&amp;TEXT($L42,"000"),$E:$E)</f>
        <v>0</v>
      </c>
      <c r="AH42" s="444">
        <f>SUMIF($G:$G,TEXT(AH$3,"000")&amp;TEXT($L42,"000"),$E:$E)</f>
        <v>0</v>
      </c>
      <c r="AI42" s="444">
        <f>SUMIF($G:$G,TEXT(AI$3,"000")&amp;TEXT($L42,"000"),$E:$E)</f>
        <v>0</v>
      </c>
      <c r="AJ42" s="441"/>
      <c r="AK42" s="449">
        <f t="shared" si="76"/>
        <v>0</v>
      </c>
      <c r="AL42" s="449">
        <f>AL41</f>
        <v>18.899999999999999</v>
      </c>
      <c r="AM42" s="449">
        <f t="shared" si="77"/>
        <v>0</v>
      </c>
      <c r="AN42" s="449">
        <f t="shared" si="78"/>
        <v>0</v>
      </c>
      <c r="AO42" s="449">
        <f t="shared" si="79"/>
        <v>0</v>
      </c>
      <c r="AP42" s="441"/>
      <c r="AQ42" s="68">
        <f t="shared" si="82"/>
        <v>0</v>
      </c>
      <c r="AR42" s="68">
        <f t="shared" si="95"/>
        <v>46229.399999999994</v>
      </c>
      <c r="AS42" s="68">
        <f t="shared" si="84"/>
        <v>0</v>
      </c>
      <c r="AT42" s="68">
        <f t="shared" si="85"/>
        <v>0</v>
      </c>
      <c r="AU42" s="68">
        <f t="shared" si="86"/>
        <v>0</v>
      </c>
      <c r="AV42" s="68">
        <f t="shared" si="96"/>
        <v>4304.9599999999919</v>
      </c>
      <c r="AW42" s="400">
        <f t="shared" si="97"/>
        <v>0.10268378063010482</v>
      </c>
      <c r="AX42" s="454">
        <v>26</v>
      </c>
      <c r="AY42" s="446"/>
      <c r="AZ42" s="446">
        <v>15.977673999999999</v>
      </c>
      <c r="BA42" s="446"/>
      <c r="BB42" s="446"/>
      <c r="BC42" s="446"/>
      <c r="BD42" s="446"/>
      <c r="BE42" s="452">
        <f t="shared" si="73"/>
        <v>0.06</v>
      </c>
      <c r="BF42" s="442"/>
      <c r="BG42" s="442">
        <f t="shared" si="75"/>
        <v>1.48</v>
      </c>
      <c r="BH42" s="442"/>
      <c r="BI42" s="442"/>
      <c r="BJ42" s="442"/>
      <c r="BK42" s="441"/>
      <c r="BL42" s="441"/>
      <c r="BM42" s="450">
        <f t="shared" si="17"/>
        <v>0</v>
      </c>
      <c r="BN42" s="450">
        <f t="shared" si="18"/>
        <v>19.185389999999998</v>
      </c>
      <c r="BO42" s="450">
        <f t="shared" si="19"/>
        <v>0</v>
      </c>
      <c r="BP42" s="450">
        <f t="shared" si="20"/>
        <v>0</v>
      </c>
      <c r="BQ42" s="450">
        <f t="shared" si="38"/>
        <v>0</v>
      </c>
      <c r="BR42" s="441"/>
      <c r="BS42" s="442">
        <f t="shared" si="105"/>
        <v>0</v>
      </c>
      <c r="BT42" s="442">
        <f t="shared" si="105"/>
        <v>3.2077159999999996</v>
      </c>
      <c r="BU42" s="442">
        <f t="shared" si="105"/>
        <v>0</v>
      </c>
      <c r="BV42" s="442">
        <f t="shared" si="105"/>
        <v>0</v>
      </c>
      <c r="BW42" s="442">
        <f t="shared" si="105"/>
        <v>0</v>
      </c>
    </row>
    <row r="43" spans="1:106">
      <c r="B43" s="714">
        <v>2</v>
      </c>
      <c r="C43" s="715" t="s">
        <v>97</v>
      </c>
      <c r="D43" s="714">
        <v>531</v>
      </c>
      <c r="E43" s="716">
        <v>150</v>
      </c>
      <c r="F43" s="717"/>
      <c r="G43" s="717" t="str">
        <f t="shared" ref="G43:G66" si="107">IF(OR(ISBLANK(C43),ISBLANK(D43)),"",TEXT(C43,"000")&amp;TEXT(D43,"000"))</f>
        <v>042531</v>
      </c>
      <c r="H43" s="271"/>
      <c r="I43" t="s">
        <v>105</v>
      </c>
      <c r="J43" t="s">
        <v>671</v>
      </c>
      <c r="K43" s="57" t="s">
        <v>111</v>
      </c>
      <c r="L43" s="91">
        <v>435</v>
      </c>
      <c r="M43" s="67">
        <f t="shared" si="91"/>
        <v>0</v>
      </c>
      <c r="N43" s="67">
        <f t="shared" si="91"/>
        <v>215</v>
      </c>
      <c r="O43" s="67">
        <f t="shared" si="91"/>
        <v>8</v>
      </c>
      <c r="P43" s="67">
        <f t="shared" si="91"/>
        <v>0</v>
      </c>
      <c r="Q43" s="67">
        <f t="shared" si="91"/>
        <v>20</v>
      </c>
      <c r="R43" s="444">
        <f t="shared" si="94"/>
        <v>0</v>
      </c>
      <c r="S43" s="470">
        <v>0</v>
      </c>
      <c r="T43" s="470">
        <v>16.28</v>
      </c>
      <c r="U43" s="470">
        <v>8.84</v>
      </c>
      <c r="V43" s="470">
        <v>0</v>
      </c>
      <c r="W43" s="470">
        <v>5.91</v>
      </c>
      <c r="Y43" s="68">
        <f t="shared" si="104"/>
        <v>0</v>
      </c>
      <c r="Z43" s="68">
        <f t="shared" si="104"/>
        <v>3500.2000000000003</v>
      </c>
      <c r="AA43" s="68">
        <f t="shared" si="104"/>
        <v>70.72</v>
      </c>
      <c r="AB43" s="68">
        <f t="shared" si="104"/>
        <v>0</v>
      </c>
      <c r="AC43" s="68">
        <f t="shared" si="104"/>
        <v>118.2</v>
      </c>
      <c r="AE43" s="67">
        <f>M43</f>
        <v>0</v>
      </c>
      <c r="AF43" s="67">
        <f>N43</f>
        <v>215</v>
      </c>
      <c r="AG43" s="67">
        <f>O43</f>
        <v>8</v>
      </c>
      <c r="AH43" s="67">
        <f>P43</f>
        <v>0</v>
      </c>
      <c r="AI43" s="67">
        <f>Q43</f>
        <v>20</v>
      </c>
      <c r="AK43" s="449">
        <f t="shared" si="76"/>
        <v>0</v>
      </c>
      <c r="AL43" s="449">
        <f>ROUND(T43*(1+AL$1),2)</f>
        <v>17.95</v>
      </c>
      <c r="AM43" s="449">
        <f t="shared" si="77"/>
        <v>9.81</v>
      </c>
      <c r="AN43" s="449">
        <f t="shared" si="78"/>
        <v>0</v>
      </c>
      <c r="AO43" s="449">
        <f t="shared" si="79"/>
        <v>6.56</v>
      </c>
      <c r="AQ43" s="68">
        <f t="shared" si="82"/>
        <v>0</v>
      </c>
      <c r="AR43" s="68">
        <f t="shared" si="95"/>
        <v>3859.25</v>
      </c>
      <c r="AS43" s="68">
        <f t="shared" si="84"/>
        <v>78.48</v>
      </c>
      <c r="AT43" s="68">
        <f t="shared" si="85"/>
        <v>0</v>
      </c>
      <c r="AU43" s="68">
        <f t="shared" si="86"/>
        <v>131.19999999999999</v>
      </c>
      <c r="AV43" s="68">
        <f t="shared" si="96"/>
        <v>359.04999999999973</v>
      </c>
      <c r="AW43" s="400">
        <f t="shared" si="97"/>
        <v>0.1025798525798525</v>
      </c>
      <c r="AX43" s="392">
        <v>40</v>
      </c>
      <c r="AY43" s="446"/>
      <c r="AZ43" s="446">
        <v>15.165593999999999</v>
      </c>
      <c r="BA43" s="446">
        <v>8.1300000000000008</v>
      </c>
      <c r="BB43" s="446"/>
      <c r="BC43" s="446">
        <v>5.43</v>
      </c>
      <c r="BD43" s="131"/>
      <c r="BE43" s="452">
        <f t="shared" si="73"/>
        <v>9.000000000000008E-2</v>
      </c>
      <c r="BF43" s="52"/>
      <c r="BG43" s="52">
        <f t="shared" si="75"/>
        <v>1.45</v>
      </c>
      <c r="BH43" s="52">
        <f>ROUND((U43*$BF$2)+$BE43-BA43,2)</f>
        <v>0.93</v>
      </c>
      <c r="BI43" s="52"/>
      <c r="BJ43" s="52">
        <f>ROUND((W43*$BF$2)+$BE43-BC43,2)</f>
        <v>0.66</v>
      </c>
      <c r="BM43" s="450">
        <f t="shared" si="17"/>
        <v>0</v>
      </c>
      <c r="BN43" s="450">
        <f t="shared" si="18"/>
        <v>18.221044999999997</v>
      </c>
      <c r="BO43" s="450">
        <f t="shared" si="19"/>
        <v>9.9581309999999998</v>
      </c>
      <c r="BP43" s="450">
        <f t="shared" si="20"/>
        <v>0</v>
      </c>
      <c r="BQ43" s="450">
        <f t="shared" si="38"/>
        <v>6.6590559999999988</v>
      </c>
      <c r="BS43" s="52">
        <f t="shared" si="105"/>
        <v>0</v>
      </c>
      <c r="BT43" s="52">
        <f t="shared" si="105"/>
        <v>3.0554509999999979</v>
      </c>
      <c r="BU43" s="52">
        <f t="shared" si="105"/>
        <v>1.8281309999999991</v>
      </c>
      <c r="BV43" s="52">
        <f t="shared" si="105"/>
        <v>0</v>
      </c>
      <c r="BW43" s="52">
        <f t="shared" si="105"/>
        <v>1.229055999999999</v>
      </c>
      <c r="BX43" s="441"/>
      <c r="BY43" s="441"/>
      <c r="BZ43" s="441"/>
      <c r="CA43" s="441"/>
      <c r="CB43" s="441"/>
      <c r="CL43" s="455"/>
    </row>
    <row r="44" spans="1:106">
      <c r="A44" s="486"/>
      <c r="B44" s="714">
        <v>2</v>
      </c>
      <c r="C44" s="715" t="s">
        <v>97</v>
      </c>
      <c r="D44" s="714" t="s">
        <v>507</v>
      </c>
      <c r="E44" s="716">
        <v>1362</v>
      </c>
      <c r="F44" s="717"/>
      <c r="G44" s="717" t="str">
        <f t="shared" si="107"/>
        <v>042531L</v>
      </c>
      <c r="H44" s="271"/>
      <c r="I44" s="380" t="s">
        <v>605</v>
      </c>
      <c r="J44" s="509" t="s">
        <v>671</v>
      </c>
      <c r="K44" s="443" t="s">
        <v>109</v>
      </c>
      <c r="L44" s="445" t="s">
        <v>497</v>
      </c>
      <c r="M44" s="444">
        <f t="shared" ref="M44:Q53" si="108">SUMIF($G:$G,TEXT(M$3,"000")&amp;TEXT($L44,"000"),$E:$E)</f>
        <v>0</v>
      </c>
      <c r="N44" s="444">
        <f t="shared" si="108"/>
        <v>2632</v>
      </c>
      <c r="O44" s="444">
        <f t="shared" si="108"/>
        <v>0</v>
      </c>
      <c r="P44" s="444">
        <f t="shared" si="108"/>
        <v>0</v>
      </c>
      <c r="Q44" s="444">
        <f t="shared" si="108"/>
        <v>0</v>
      </c>
      <c r="R44" s="444">
        <f t="shared" si="94"/>
        <v>0</v>
      </c>
      <c r="S44" s="470">
        <v>0</v>
      </c>
      <c r="T44" s="487">
        <v>16.28</v>
      </c>
      <c r="U44" s="470">
        <v>0</v>
      </c>
      <c r="V44" s="470">
        <v>0</v>
      </c>
      <c r="W44" s="470">
        <v>0</v>
      </c>
      <c r="X44" s="441"/>
      <c r="Y44" s="68">
        <f t="shared" ref="Y44:AC45" si="109">IF(AND(M44&lt;&gt;0,S44=0),#VALUE!,M44*S44)</f>
        <v>0</v>
      </c>
      <c r="Z44" s="68">
        <f t="shared" si="109"/>
        <v>42848.960000000006</v>
      </c>
      <c r="AA44" s="696">
        <f t="shared" si="109"/>
        <v>0</v>
      </c>
      <c r="AB44" s="68">
        <f t="shared" si="109"/>
        <v>0</v>
      </c>
      <c r="AC44" s="68">
        <f t="shared" si="109"/>
        <v>0</v>
      </c>
      <c r="AD44" s="441"/>
      <c r="AE44" s="444">
        <f>SUMIF($G:$G,TEXT(AE$3,"000")&amp;TEXT($L44,"000"),$E:$E)</f>
        <v>0</v>
      </c>
      <c r="AF44" s="444">
        <f>SUMIF($G:$G,TEXT(AF$3,"000")&amp;TEXT($L44,"000"),$E:$E)</f>
        <v>2632</v>
      </c>
      <c r="AG44" s="444">
        <f>SUMIF($G:$G,TEXT(AG$3,"000")&amp;TEXT($L44,"000"),$E:$E)</f>
        <v>0</v>
      </c>
      <c r="AH44" s="444">
        <f>SUMIF($G:$G,TEXT(AH$3,"000")&amp;TEXT($L44,"000"),$E:$E)</f>
        <v>0</v>
      </c>
      <c r="AI44" s="444">
        <f>SUMIF($G:$G,TEXT(AI$3,"000")&amp;TEXT($L44,"000"),$E:$E)</f>
        <v>0</v>
      </c>
      <c r="AJ44" s="441"/>
      <c r="AK44" s="449">
        <f t="shared" si="76"/>
        <v>0</v>
      </c>
      <c r="AL44" s="449">
        <f>AL43</f>
        <v>17.95</v>
      </c>
      <c r="AM44" s="449">
        <f t="shared" si="77"/>
        <v>0</v>
      </c>
      <c r="AN44" s="449">
        <f t="shared" si="78"/>
        <v>0</v>
      </c>
      <c r="AO44" s="449">
        <f t="shared" si="79"/>
        <v>0</v>
      </c>
      <c r="AP44" s="441"/>
      <c r="AQ44" s="68">
        <f t="shared" si="82"/>
        <v>0</v>
      </c>
      <c r="AR44" s="68">
        <f t="shared" si="95"/>
        <v>47244.4</v>
      </c>
      <c r="AS44" s="68">
        <f t="shared" si="84"/>
        <v>0</v>
      </c>
      <c r="AT44" s="68">
        <f t="shared" si="85"/>
        <v>0</v>
      </c>
      <c r="AU44" s="68">
        <f t="shared" si="86"/>
        <v>0</v>
      </c>
      <c r="AV44" s="68">
        <f t="shared" si="96"/>
        <v>4395.4399999999951</v>
      </c>
      <c r="AW44" s="400">
        <f t="shared" si="97"/>
        <v>0.10257985257985244</v>
      </c>
      <c r="AX44" s="454">
        <v>26</v>
      </c>
      <c r="AY44" s="446"/>
      <c r="AZ44" s="446">
        <v>15.165593999999999</v>
      </c>
      <c r="BA44" s="446"/>
      <c r="BB44" s="446"/>
      <c r="BC44" s="446"/>
      <c r="BD44" s="446"/>
      <c r="BE44" s="452">
        <f t="shared" si="73"/>
        <v>0.06</v>
      </c>
      <c r="BF44" s="442"/>
      <c r="BG44" s="442">
        <f t="shared" si="75"/>
        <v>1.42</v>
      </c>
      <c r="BH44" s="442"/>
      <c r="BI44" s="442"/>
      <c r="BJ44" s="442"/>
      <c r="BK44" s="441"/>
      <c r="BL44" s="441"/>
      <c r="BM44" s="450">
        <f t="shared" si="17"/>
        <v>0</v>
      </c>
      <c r="BN44" s="450">
        <f t="shared" si="18"/>
        <v>18.221044999999997</v>
      </c>
      <c r="BO44" s="450">
        <f t="shared" si="19"/>
        <v>0</v>
      </c>
      <c r="BP44" s="450">
        <f t="shared" si="20"/>
        <v>0</v>
      </c>
      <c r="BQ44" s="450">
        <f t="shared" si="38"/>
        <v>0</v>
      </c>
      <c r="BR44" s="441"/>
      <c r="BS44" s="442">
        <f t="shared" ref="BS44:BW45" si="110">BM44-AY44</f>
        <v>0</v>
      </c>
      <c r="BT44" s="442">
        <f t="shared" si="110"/>
        <v>3.0554509999999979</v>
      </c>
      <c r="BU44" s="442">
        <f t="shared" si="110"/>
        <v>0</v>
      </c>
      <c r="BV44" s="442">
        <f t="shared" si="110"/>
        <v>0</v>
      </c>
      <c r="BW44" s="442">
        <f t="shared" si="110"/>
        <v>0</v>
      </c>
    </row>
    <row r="45" spans="1:106">
      <c r="A45" s="467"/>
      <c r="B45" s="714">
        <v>2</v>
      </c>
      <c r="C45" s="715" t="s">
        <v>97</v>
      </c>
      <c r="D45" s="714" t="s">
        <v>602</v>
      </c>
      <c r="E45" s="716">
        <f>468+1</f>
        <v>469</v>
      </c>
      <c r="F45" s="717"/>
      <c r="G45" s="717" t="str">
        <f t="shared" si="107"/>
        <v>042531T</v>
      </c>
      <c r="H45" s="847"/>
      <c r="I45" s="485" t="s">
        <v>605</v>
      </c>
      <c r="J45" s="509" t="s">
        <v>671</v>
      </c>
      <c r="K45" s="443" t="s">
        <v>109</v>
      </c>
      <c r="L45" s="445" t="s">
        <v>600</v>
      </c>
      <c r="M45" s="444">
        <f t="shared" si="108"/>
        <v>0</v>
      </c>
      <c r="N45" s="444">
        <f t="shared" si="108"/>
        <v>1865</v>
      </c>
      <c r="O45" s="444">
        <f t="shared" si="108"/>
        <v>0</v>
      </c>
      <c r="P45" s="444">
        <f t="shared" si="108"/>
        <v>0</v>
      </c>
      <c r="Q45" s="444">
        <f t="shared" si="108"/>
        <v>0</v>
      </c>
      <c r="R45" s="444">
        <f t="shared" si="94"/>
        <v>0</v>
      </c>
      <c r="S45" s="470">
        <v>0</v>
      </c>
      <c r="T45" s="487">
        <v>11.360000000000001</v>
      </c>
      <c r="U45" s="470">
        <v>0</v>
      </c>
      <c r="V45" s="470">
        <v>0</v>
      </c>
      <c r="W45" s="470">
        <v>0</v>
      </c>
      <c r="X45" s="485"/>
      <c r="Y45" s="68">
        <f t="shared" si="109"/>
        <v>0</v>
      </c>
      <c r="Z45" s="68">
        <f t="shared" si="109"/>
        <v>21186.400000000001</v>
      </c>
      <c r="AA45" s="696">
        <f t="shared" si="109"/>
        <v>0</v>
      </c>
      <c r="AB45" s="68">
        <f t="shared" si="109"/>
        <v>0</v>
      </c>
      <c r="AC45" s="68">
        <f t="shared" si="109"/>
        <v>0</v>
      </c>
      <c r="AD45" s="485"/>
      <c r="AE45" s="444">
        <f t="shared" ref="AE45:AI46" si="111">M45</f>
        <v>0</v>
      </c>
      <c r="AF45" s="444">
        <f t="shared" si="111"/>
        <v>1865</v>
      </c>
      <c r="AG45" s="444">
        <f t="shared" si="111"/>
        <v>0</v>
      </c>
      <c r="AH45" s="444">
        <f t="shared" si="111"/>
        <v>0</v>
      </c>
      <c r="AI45" s="444">
        <f t="shared" si="111"/>
        <v>0</v>
      </c>
      <c r="AJ45" s="485"/>
      <c r="AK45" s="449">
        <f t="shared" si="76"/>
        <v>0</v>
      </c>
      <c r="AL45" s="449">
        <f>AL44-AL102</f>
        <v>13.03</v>
      </c>
      <c r="AM45" s="449">
        <f t="shared" si="77"/>
        <v>0</v>
      </c>
      <c r="AN45" s="449">
        <f t="shared" si="78"/>
        <v>0</v>
      </c>
      <c r="AO45" s="449">
        <f t="shared" si="79"/>
        <v>0</v>
      </c>
      <c r="AP45" s="485"/>
      <c r="AQ45" s="68">
        <f t="shared" si="82"/>
        <v>0</v>
      </c>
      <c r="AR45" s="68">
        <f t="shared" si="95"/>
        <v>24300.949999999997</v>
      </c>
      <c r="AS45" s="68">
        <f t="shared" si="84"/>
        <v>0</v>
      </c>
      <c r="AT45" s="68">
        <f t="shared" si="85"/>
        <v>0</v>
      </c>
      <c r="AU45" s="68">
        <f t="shared" si="86"/>
        <v>0</v>
      </c>
      <c r="AV45" s="68">
        <f t="shared" si="96"/>
        <v>3114.5499999999956</v>
      </c>
      <c r="AW45" s="400">
        <f t="shared" si="97"/>
        <v>0.1470070422535209</v>
      </c>
      <c r="AX45" s="454">
        <v>26</v>
      </c>
      <c r="AY45" s="446"/>
      <c r="AZ45" s="446">
        <v>9.8566209999999987</v>
      </c>
      <c r="BA45" s="446"/>
      <c r="BB45" s="446"/>
      <c r="BC45" s="446"/>
      <c r="BD45" s="446"/>
      <c r="BE45" s="452">
        <f t="shared" si="73"/>
        <v>0.06</v>
      </c>
      <c r="BF45" s="442"/>
      <c r="BG45" s="442">
        <f t="shared" si="75"/>
        <v>1.73</v>
      </c>
      <c r="BH45" s="442"/>
      <c r="BI45" s="442"/>
      <c r="BJ45" s="442"/>
      <c r="BK45" s="485"/>
      <c r="BL45" s="485"/>
      <c r="BM45" s="450">
        <f t="shared" si="17"/>
        <v>0</v>
      </c>
      <c r="BN45" s="450">
        <f t="shared" si="18"/>
        <v>13.226752999999999</v>
      </c>
      <c r="BO45" s="450">
        <f t="shared" si="19"/>
        <v>0</v>
      </c>
      <c r="BP45" s="450">
        <f t="shared" si="20"/>
        <v>0</v>
      </c>
      <c r="BQ45" s="450">
        <f t="shared" si="38"/>
        <v>0</v>
      </c>
      <c r="BR45" s="485"/>
      <c r="BS45" s="442">
        <f t="shared" si="110"/>
        <v>0</v>
      </c>
      <c r="BT45" s="442">
        <f t="shared" si="110"/>
        <v>3.3701319999999999</v>
      </c>
      <c r="BU45" s="442">
        <f t="shared" si="110"/>
        <v>0</v>
      </c>
      <c r="BV45" s="442">
        <f t="shared" si="110"/>
        <v>0</v>
      </c>
      <c r="BW45" s="442">
        <f t="shared" si="110"/>
        <v>0</v>
      </c>
      <c r="BX45" s="441"/>
      <c r="BY45" s="441"/>
      <c r="BZ45" s="441"/>
      <c r="CA45" s="441"/>
      <c r="CB45" s="441"/>
    </row>
    <row r="46" spans="1:106">
      <c r="B46" s="714">
        <v>2</v>
      </c>
      <c r="C46" s="715" t="s">
        <v>97</v>
      </c>
      <c r="D46" s="714">
        <v>532</v>
      </c>
      <c r="E46" s="716">
        <v>92</v>
      </c>
      <c r="F46" s="717"/>
      <c r="G46" s="717" t="str">
        <f t="shared" si="107"/>
        <v>042532</v>
      </c>
      <c r="H46" s="271"/>
      <c r="I46" t="s">
        <v>105</v>
      </c>
      <c r="J46" t="s">
        <v>113</v>
      </c>
      <c r="K46" s="57" t="s">
        <v>111</v>
      </c>
      <c r="L46" s="91">
        <v>436</v>
      </c>
      <c r="M46" s="67">
        <f t="shared" si="108"/>
        <v>0</v>
      </c>
      <c r="N46" s="67">
        <f t="shared" si="108"/>
        <v>13</v>
      </c>
      <c r="O46" s="67">
        <f t="shared" si="108"/>
        <v>0</v>
      </c>
      <c r="P46" s="67">
        <f t="shared" si="108"/>
        <v>0</v>
      </c>
      <c r="Q46" s="67">
        <f t="shared" si="108"/>
        <v>0</v>
      </c>
      <c r="R46" s="444">
        <f t="shared" si="94"/>
        <v>0</v>
      </c>
      <c r="S46" s="470">
        <v>0</v>
      </c>
      <c r="T46" s="470">
        <v>18.46</v>
      </c>
      <c r="U46" s="470">
        <v>0</v>
      </c>
      <c r="V46" s="470">
        <v>0</v>
      </c>
      <c r="W46" s="470">
        <v>0</v>
      </c>
      <c r="Y46" s="68">
        <f>IF(AND(M46&lt;&gt;0,S46=0),#VALUE!,M46*S46)</f>
        <v>0</v>
      </c>
      <c r="Z46" s="68">
        <f>IF(AND(N46&lt;&gt;0,T46=0),#VALUE!,N46*T46)</f>
        <v>239.98000000000002</v>
      </c>
      <c r="AA46" s="68">
        <f>IF(AND(O46&lt;&gt;0,U46=0),#VALUE!,O46*U46)</f>
        <v>0</v>
      </c>
      <c r="AB46" s="68">
        <f>IF(AND(P46&lt;&gt;0,V46=0),#VALUE!,P46*V46)</f>
        <v>0</v>
      </c>
      <c r="AC46" s="68">
        <f>IF(AND(Q46&lt;&gt;0,W46=0),#VALUE!,Q46*W46)</f>
        <v>0</v>
      </c>
      <c r="AE46" s="67">
        <f t="shared" si="111"/>
        <v>0</v>
      </c>
      <c r="AF46" s="67">
        <f t="shared" si="111"/>
        <v>13</v>
      </c>
      <c r="AG46" s="67">
        <f t="shared" si="111"/>
        <v>0</v>
      </c>
      <c r="AH46" s="67">
        <f t="shared" si="111"/>
        <v>0</v>
      </c>
      <c r="AI46" s="67">
        <f t="shared" si="111"/>
        <v>0</v>
      </c>
      <c r="AK46" s="449">
        <f t="shared" si="76"/>
        <v>0</v>
      </c>
      <c r="AL46" s="449">
        <f>ROUND(T46*(1+AL$1),2)</f>
        <v>20.350000000000001</v>
      </c>
      <c r="AM46" s="449">
        <f t="shared" si="77"/>
        <v>0</v>
      </c>
      <c r="AN46" s="449">
        <f t="shared" si="78"/>
        <v>0</v>
      </c>
      <c r="AO46" s="449">
        <f t="shared" si="79"/>
        <v>0</v>
      </c>
      <c r="AQ46" s="68">
        <f t="shared" si="82"/>
        <v>0</v>
      </c>
      <c r="AR46" s="68">
        <f t="shared" si="95"/>
        <v>264.55</v>
      </c>
      <c r="AS46" s="68">
        <f t="shared" si="84"/>
        <v>0</v>
      </c>
      <c r="AT46" s="68">
        <f t="shared" si="85"/>
        <v>0</v>
      </c>
      <c r="AU46" s="68">
        <f t="shared" si="86"/>
        <v>0</v>
      </c>
      <c r="AV46" s="68">
        <f t="shared" si="96"/>
        <v>24.569999999999993</v>
      </c>
      <c r="AW46" s="400">
        <f t="shared" si="97"/>
        <v>0.10238353196099671</v>
      </c>
      <c r="AX46" s="392">
        <v>40</v>
      </c>
      <c r="AY46" s="446"/>
      <c r="AZ46" s="446">
        <v>17.195793999999999</v>
      </c>
      <c r="BA46" s="446"/>
      <c r="BB46" s="446"/>
      <c r="BC46" s="446"/>
      <c r="BD46" s="131"/>
      <c r="BE46" s="452">
        <f t="shared" si="73"/>
        <v>9.000000000000008E-2</v>
      </c>
      <c r="BF46" s="52"/>
      <c r="BG46" s="52">
        <f t="shared" si="75"/>
        <v>1.63</v>
      </c>
      <c r="BH46" s="52"/>
      <c r="BI46" s="52"/>
      <c r="BJ46" s="52"/>
      <c r="BM46" s="450">
        <f t="shared" si="17"/>
        <v>0</v>
      </c>
      <c r="BN46" s="450">
        <f t="shared" si="18"/>
        <v>20.657284999999998</v>
      </c>
      <c r="BO46" s="450">
        <f t="shared" si="19"/>
        <v>0</v>
      </c>
      <c r="BP46" s="450">
        <f t="shared" si="20"/>
        <v>0</v>
      </c>
      <c r="BQ46" s="450">
        <f t="shared" si="38"/>
        <v>0</v>
      </c>
      <c r="BS46" s="52">
        <f>BM46-AY46</f>
        <v>0</v>
      </c>
      <c r="BT46" s="52">
        <f>BN46-AZ46</f>
        <v>3.4614909999999988</v>
      </c>
      <c r="BU46" s="52">
        <f>BO46-BA46</f>
        <v>0</v>
      </c>
      <c r="BV46" s="52">
        <f>BP46-BB46</f>
        <v>0</v>
      </c>
      <c r="BW46" s="52">
        <f>BQ46-BC46</f>
        <v>0</v>
      </c>
      <c r="BX46" s="485"/>
      <c r="BY46" s="485"/>
      <c r="BZ46" s="485"/>
      <c r="CA46" s="485"/>
      <c r="CB46" s="485"/>
      <c r="CC46" s="485"/>
      <c r="CD46" s="485"/>
      <c r="CE46" s="485"/>
      <c r="CF46" s="485"/>
      <c r="CG46" s="485"/>
      <c r="CH46" s="485"/>
    </row>
    <row r="47" spans="1:106">
      <c r="A47" s="486"/>
      <c r="B47" s="714">
        <v>2</v>
      </c>
      <c r="C47" s="715" t="s">
        <v>97</v>
      </c>
      <c r="D47" s="714" t="s">
        <v>508</v>
      </c>
      <c r="E47" s="716">
        <v>714</v>
      </c>
      <c r="F47" s="717"/>
      <c r="G47" s="717" t="str">
        <f t="shared" si="107"/>
        <v>042532L</v>
      </c>
      <c r="H47" s="271"/>
      <c r="I47" s="380" t="s">
        <v>605</v>
      </c>
      <c r="J47" s="441" t="s">
        <v>113</v>
      </c>
      <c r="K47" s="443" t="s">
        <v>109</v>
      </c>
      <c r="L47" s="445" t="s">
        <v>498</v>
      </c>
      <c r="M47" s="444">
        <f t="shared" si="108"/>
        <v>0</v>
      </c>
      <c r="N47" s="444">
        <f t="shared" si="108"/>
        <v>147</v>
      </c>
      <c r="O47" s="444">
        <f t="shared" si="108"/>
        <v>0</v>
      </c>
      <c r="P47" s="444">
        <f t="shared" si="108"/>
        <v>0</v>
      </c>
      <c r="Q47" s="444">
        <f t="shared" si="108"/>
        <v>0</v>
      </c>
      <c r="R47" s="444">
        <f t="shared" si="94"/>
        <v>0</v>
      </c>
      <c r="S47" s="470">
        <v>0</v>
      </c>
      <c r="T47" s="487">
        <v>18.46</v>
      </c>
      <c r="U47" s="470">
        <v>0</v>
      </c>
      <c r="V47" s="470">
        <v>0</v>
      </c>
      <c r="W47" s="470">
        <v>0</v>
      </c>
      <c r="X47" s="441"/>
      <c r="Y47" s="68">
        <f t="shared" ref="Y47:AC48" si="112">IF(AND(M47&lt;&gt;0,S47=0),#VALUE!,M47*S47)</f>
        <v>0</v>
      </c>
      <c r="Z47" s="68">
        <f t="shared" si="112"/>
        <v>2713.6200000000003</v>
      </c>
      <c r="AA47" s="68">
        <f t="shared" si="112"/>
        <v>0</v>
      </c>
      <c r="AB47" s="68">
        <f t="shared" si="112"/>
        <v>0</v>
      </c>
      <c r="AC47" s="68">
        <f t="shared" si="112"/>
        <v>0</v>
      </c>
      <c r="AD47" s="441"/>
      <c r="AE47" s="444">
        <f>SUMIF($G:$G,TEXT(AE$3,"000")&amp;TEXT($L47,"000"),$E:$E)</f>
        <v>0</v>
      </c>
      <c r="AF47" s="444">
        <f>SUMIF($G:$G,TEXT(AF$3,"000")&amp;TEXT($L47,"000"),$E:$E)</f>
        <v>147</v>
      </c>
      <c r="AG47" s="444">
        <f>SUMIF($G:$G,TEXT(AG$3,"000")&amp;TEXT($L47,"000"),$E:$E)</f>
        <v>0</v>
      </c>
      <c r="AH47" s="444">
        <f>SUMIF($G:$G,TEXT(AH$3,"000")&amp;TEXT($L47,"000"),$E:$E)</f>
        <v>0</v>
      </c>
      <c r="AI47" s="444">
        <f>SUMIF($G:$G,TEXT(AI$3,"000")&amp;TEXT($L47,"000"),$E:$E)</f>
        <v>0</v>
      </c>
      <c r="AJ47" s="441"/>
      <c r="AK47" s="449">
        <f t="shared" si="76"/>
        <v>0</v>
      </c>
      <c r="AL47" s="449">
        <f>AL46</f>
        <v>20.350000000000001</v>
      </c>
      <c r="AM47" s="449">
        <f t="shared" si="77"/>
        <v>0</v>
      </c>
      <c r="AN47" s="449">
        <f t="shared" si="78"/>
        <v>0</v>
      </c>
      <c r="AO47" s="449">
        <f t="shared" si="79"/>
        <v>0</v>
      </c>
      <c r="AP47" s="441"/>
      <c r="AQ47" s="68">
        <f t="shared" si="82"/>
        <v>0</v>
      </c>
      <c r="AR47" s="68">
        <f t="shared" si="95"/>
        <v>2991.4500000000003</v>
      </c>
      <c r="AS47" s="68">
        <f t="shared" si="84"/>
        <v>0</v>
      </c>
      <c r="AT47" s="68">
        <f t="shared" si="85"/>
        <v>0</v>
      </c>
      <c r="AU47" s="68">
        <f t="shared" si="86"/>
        <v>0</v>
      </c>
      <c r="AV47" s="68">
        <f t="shared" si="96"/>
        <v>277.82999999999993</v>
      </c>
      <c r="AW47" s="400">
        <f t="shared" si="97"/>
        <v>0.10238353196099671</v>
      </c>
      <c r="AX47" s="454">
        <v>26</v>
      </c>
      <c r="AY47" s="446"/>
      <c r="AZ47" s="446">
        <v>17.195793999999999</v>
      </c>
      <c r="BA47" s="446"/>
      <c r="BB47" s="446"/>
      <c r="BC47" s="446"/>
      <c r="BD47" s="446"/>
      <c r="BE47" s="452">
        <f t="shared" si="73"/>
        <v>0.06</v>
      </c>
      <c r="BF47" s="442"/>
      <c r="BG47" s="442">
        <f t="shared" si="75"/>
        <v>1.6</v>
      </c>
      <c r="BH47" s="442"/>
      <c r="BI47" s="442"/>
      <c r="BJ47" s="442"/>
      <c r="BK47" s="441"/>
      <c r="BL47" s="441"/>
      <c r="BM47" s="450">
        <f t="shared" si="17"/>
        <v>0</v>
      </c>
      <c r="BN47" s="450">
        <f t="shared" si="18"/>
        <v>20.657284999999998</v>
      </c>
      <c r="BO47" s="450">
        <f t="shared" si="19"/>
        <v>0</v>
      </c>
      <c r="BP47" s="450">
        <f t="shared" si="20"/>
        <v>0</v>
      </c>
      <c r="BQ47" s="450">
        <f t="shared" si="38"/>
        <v>0</v>
      </c>
      <c r="BR47" s="441"/>
      <c r="BS47" s="442">
        <f t="shared" ref="BS47:BW48" si="113">BM47-AY47</f>
        <v>0</v>
      </c>
      <c r="BT47" s="442">
        <f t="shared" si="113"/>
        <v>3.4614909999999988</v>
      </c>
      <c r="BU47" s="442">
        <f t="shared" si="113"/>
        <v>0</v>
      </c>
      <c r="BV47" s="442">
        <f t="shared" si="113"/>
        <v>0</v>
      </c>
      <c r="BW47" s="442">
        <f t="shared" si="113"/>
        <v>0</v>
      </c>
    </row>
    <row r="48" spans="1:106">
      <c r="A48" s="467"/>
      <c r="B48" s="714">
        <v>2</v>
      </c>
      <c r="C48" s="715" t="s">
        <v>97</v>
      </c>
      <c r="D48" s="714" t="s">
        <v>603</v>
      </c>
      <c r="E48" s="716">
        <v>150</v>
      </c>
      <c r="F48" s="717"/>
      <c r="G48" s="717" t="str">
        <f t="shared" si="107"/>
        <v>042532T</v>
      </c>
      <c r="H48" s="271"/>
      <c r="I48" s="485" t="s">
        <v>605</v>
      </c>
      <c r="J48" s="485" t="s">
        <v>113</v>
      </c>
      <c r="K48" s="443" t="s">
        <v>109</v>
      </c>
      <c r="L48" s="445" t="s">
        <v>601</v>
      </c>
      <c r="M48" s="444">
        <f t="shared" si="108"/>
        <v>0</v>
      </c>
      <c r="N48" s="444">
        <f t="shared" si="108"/>
        <v>280</v>
      </c>
      <c r="O48" s="444">
        <f t="shared" si="108"/>
        <v>0</v>
      </c>
      <c r="P48" s="444">
        <f t="shared" si="108"/>
        <v>0</v>
      </c>
      <c r="Q48" s="444">
        <f t="shared" si="108"/>
        <v>0</v>
      </c>
      <c r="R48" s="444">
        <f t="shared" si="94"/>
        <v>0</v>
      </c>
      <c r="S48" s="470">
        <v>0</v>
      </c>
      <c r="T48" s="487">
        <v>13.540000000000001</v>
      </c>
      <c r="U48" s="470">
        <v>0</v>
      </c>
      <c r="V48" s="470">
        <v>0</v>
      </c>
      <c r="W48" s="470">
        <v>0</v>
      </c>
      <c r="X48" s="485"/>
      <c r="Y48" s="68">
        <f t="shared" si="112"/>
        <v>0</v>
      </c>
      <c r="Z48" s="68">
        <f t="shared" si="112"/>
        <v>3791.2000000000003</v>
      </c>
      <c r="AA48" s="68">
        <f t="shared" si="112"/>
        <v>0</v>
      </c>
      <c r="AB48" s="68">
        <f t="shared" si="112"/>
        <v>0</v>
      </c>
      <c r="AC48" s="68">
        <f t="shared" si="112"/>
        <v>0</v>
      </c>
      <c r="AD48" s="485"/>
      <c r="AE48" s="444">
        <f>M48</f>
        <v>0</v>
      </c>
      <c r="AF48" s="444">
        <f>N48</f>
        <v>280</v>
      </c>
      <c r="AG48" s="444">
        <f>O48</f>
        <v>0</v>
      </c>
      <c r="AH48" s="444">
        <f>P48</f>
        <v>0</v>
      </c>
      <c r="AI48" s="444">
        <f>Q48</f>
        <v>0</v>
      </c>
      <c r="AJ48" s="485"/>
      <c r="AK48" s="449">
        <f t="shared" si="76"/>
        <v>0</v>
      </c>
      <c r="AL48" s="449">
        <f>AL47-AL102</f>
        <v>15.430000000000001</v>
      </c>
      <c r="AM48" s="449">
        <f t="shared" si="77"/>
        <v>0</v>
      </c>
      <c r="AN48" s="449">
        <f t="shared" si="78"/>
        <v>0</v>
      </c>
      <c r="AO48" s="449">
        <f t="shared" si="79"/>
        <v>0</v>
      </c>
      <c r="AP48" s="485"/>
      <c r="AQ48" s="68">
        <f t="shared" si="82"/>
        <v>0</v>
      </c>
      <c r="AR48" s="68">
        <f t="shared" si="95"/>
        <v>4320.4000000000005</v>
      </c>
      <c r="AS48" s="68">
        <f t="shared" si="84"/>
        <v>0</v>
      </c>
      <c r="AT48" s="68">
        <f t="shared" si="85"/>
        <v>0</v>
      </c>
      <c r="AU48" s="68">
        <f t="shared" si="86"/>
        <v>0</v>
      </c>
      <c r="AV48" s="68">
        <f t="shared" si="96"/>
        <v>529.20000000000027</v>
      </c>
      <c r="AW48" s="400">
        <f t="shared" si="97"/>
        <v>0.13958641063515514</v>
      </c>
      <c r="AX48" s="454">
        <v>26</v>
      </c>
      <c r="AY48" s="446"/>
      <c r="AZ48" s="446">
        <v>11.886820999999999</v>
      </c>
      <c r="BA48" s="446"/>
      <c r="BB48" s="446"/>
      <c r="BC48" s="446"/>
      <c r="BD48" s="446"/>
      <c r="BE48" s="452">
        <f t="shared" si="73"/>
        <v>0.06</v>
      </c>
      <c r="BF48" s="442"/>
      <c r="BG48" s="442">
        <f t="shared" si="75"/>
        <v>1.92</v>
      </c>
      <c r="BH48" s="442"/>
      <c r="BI48" s="442"/>
      <c r="BJ48" s="442"/>
      <c r="BK48" s="485"/>
      <c r="BL48" s="485"/>
      <c r="BM48" s="450">
        <f t="shared" si="17"/>
        <v>0</v>
      </c>
      <c r="BN48" s="450">
        <f t="shared" si="18"/>
        <v>15.662993</v>
      </c>
      <c r="BO48" s="450">
        <f t="shared" si="19"/>
        <v>0</v>
      </c>
      <c r="BP48" s="450">
        <f t="shared" si="20"/>
        <v>0</v>
      </c>
      <c r="BQ48" s="450">
        <f t="shared" si="38"/>
        <v>0</v>
      </c>
      <c r="BR48" s="485"/>
      <c r="BS48" s="442">
        <f t="shared" si="113"/>
        <v>0</v>
      </c>
      <c r="BT48" s="442">
        <f t="shared" si="113"/>
        <v>3.7761720000000008</v>
      </c>
      <c r="BU48" s="442">
        <f t="shared" si="113"/>
        <v>0</v>
      </c>
      <c r="BV48" s="442">
        <f t="shared" si="113"/>
        <v>0</v>
      </c>
      <c r="BW48" s="442">
        <f t="shared" si="113"/>
        <v>0</v>
      </c>
      <c r="BX48" s="441"/>
      <c r="BY48" s="441"/>
      <c r="BZ48" s="441"/>
      <c r="CA48" s="441"/>
      <c r="CB48" s="441"/>
      <c r="CK48" s="455"/>
      <c r="CX48" s="486"/>
      <c r="CY48" s="486"/>
      <c r="CZ48" s="486"/>
      <c r="DA48" s="486"/>
      <c r="DB48" s="486"/>
    </row>
    <row r="49" spans="1:120">
      <c r="B49" s="714">
        <v>2</v>
      </c>
      <c r="C49" s="715" t="s">
        <v>97</v>
      </c>
      <c r="D49" s="714">
        <v>533</v>
      </c>
      <c r="E49" s="716">
        <v>8</v>
      </c>
      <c r="F49" s="717"/>
      <c r="G49" s="717" t="str">
        <f t="shared" si="107"/>
        <v>042533</v>
      </c>
      <c r="H49" s="271"/>
      <c r="I49" t="s">
        <v>114</v>
      </c>
      <c r="J49" t="s">
        <v>84</v>
      </c>
      <c r="K49" s="57" t="s">
        <v>115</v>
      </c>
      <c r="L49" s="91">
        <v>438</v>
      </c>
      <c r="M49" s="67">
        <f t="shared" si="108"/>
        <v>0</v>
      </c>
      <c r="N49" s="67">
        <f t="shared" si="108"/>
        <v>11</v>
      </c>
      <c r="O49" s="67">
        <f t="shared" si="108"/>
        <v>0</v>
      </c>
      <c r="P49" s="67">
        <f t="shared" si="108"/>
        <v>0</v>
      </c>
      <c r="Q49" s="67">
        <f t="shared" si="108"/>
        <v>0</v>
      </c>
      <c r="R49" s="444">
        <f t="shared" ref="R49:R78" si="114">IF(SUM(M49:Q49)&gt;0,0,1)</f>
        <v>0</v>
      </c>
      <c r="S49" s="470">
        <v>0</v>
      </c>
      <c r="T49" s="470">
        <v>17.14</v>
      </c>
      <c r="U49" s="470">
        <v>0</v>
      </c>
      <c r="V49" s="470">
        <v>0</v>
      </c>
      <c r="W49" s="470">
        <v>0</v>
      </c>
      <c r="Y49" s="68">
        <f>IF(AND(M49&lt;&gt;0,S49=0),#VALUE!,M49*S49)</f>
        <v>0</v>
      </c>
      <c r="Z49" s="68">
        <f>IF(AND(N49&lt;&gt;0,T49=0),#VALUE!,N49*T49)</f>
        <v>188.54000000000002</v>
      </c>
      <c r="AA49" s="68">
        <f>IF(AND(O49&lt;&gt;0,U49=0),#VALUE!,O49*U49)</f>
        <v>0</v>
      </c>
      <c r="AB49" s="68">
        <f>IF(AND(P49&lt;&gt;0,V49=0),#VALUE!,P49*V49)</f>
        <v>0</v>
      </c>
      <c r="AC49" s="68">
        <f>IF(AND(Q49&lt;&gt;0,W49=0),#VALUE!,Q49*W49)</f>
        <v>0</v>
      </c>
      <c r="AE49" s="67">
        <f>M49</f>
        <v>0</v>
      </c>
      <c r="AF49" s="67">
        <f t="shared" ref="AF49:AI49" si="115">N49</f>
        <v>11</v>
      </c>
      <c r="AG49" s="67">
        <f t="shared" si="115"/>
        <v>0</v>
      </c>
      <c r="AH49" s="67">
        <f t="shared" si="115"/>
        <v>0</v>
      </c>
      <c r="AI49" s="67">
        <f t="shared" si="115"/>
        <v>0</v>
      </c>
      <c r="AK49" s="449">
        <f t="shared" si="76"/>
        <v>0</v>
      </c>
      <c r="AL49" s="449">
        <f>ROUND(T49*(1+AL$1),2)</f>
        <v>18.899999999999999</v>
      </c>
      <c r="AM49" s="449">
        <f t="shared" si="77"/>
        <v>0</v>
      </c>
      <c r="AN49" s="449">
        <f t="shared" si="78"/>
        <v>0</v>
      </c>
      <c r="AO49" s="449">
        <f t="shared" si="79"/>
        <v>0</v>
      </c>
      <c r="AQ49" s="68">
        <f t="shared" si="82"/>
        <v>0</v>
      </c>
      <c r="AR49" s="68">
        <f t="shared" si="95"/>
        <v>207.89999999999998</v>
      </c>
      <c r="AS49" s="68">
        <f t="shared" si="84"/>
        <v>0</v>
      </c>
      <c r="AT49" s="68">
        <f t="shared" si="85"/>
        <v>0</v>
      </c>
      <c r="AU49" s="68">
        <f t="shared" si="86"/>
        <v>0</v>
      </c>
      <c r="AV49" s="68">
        <f t="shared" si="96"/>
        <v>19.359999999999957</v>
      </c>
      <c r="AW49" s="400">
        <f t="shared" si="97"/>
        <v>0.10268378063010478</v>
      </c>
      <c r="AX49" s="392">
        <v>40</v>
      </c>
      <c r="AY49" s="446"/>
      <c r="AZ49" s="446">
        <v>15.977673999999999</v>
      </c>
      <c r="BA49" s="446"/>
      <c r="BB49" s="446"/>
      <c r="BC49" s="446"/>
      <c r="BD49" s="131"/>
      <c r="BE49" s="452">
        <f t="shared" si="73"/>
        <v>9.000000000000008E-2</v>
      </c>
      <c r="BF49" s="52"/>
      <c r="BG49" s="52">
        <f t="shared" si="75"/>
        <v>1.51</v>
      </c>
      <c r="BH49" s="52"/>
      <c r="BI49" s="52"/>
      <c r="BJ49" s="52"/>
      <c r="BM49" s="450">
        <f t="shared" si="17"/>
        <v>0</v>
      </c>
      <c r="BN49" s="450">
        <f t="shared" si="18"/>
        <v>19.185389999999998</v>
      </c>
      <c r="BO49" s="450">
        <f t="shared" si="19"/>
        <v>0</v>
      </c>
      <c r="BP49" s="450">
        <f t="shared" si="20"/>
        <v>0</v>
      </c>
      <c r="BQ49" s="450">
        <f t="shared" si="38"/>
        <v>0</v>
      </c>
      <c r="BS49" s="52">
        <f>BM49-AY49</f>
        <v>0</v>
      </c>
      <c r="BT49" s="52">
        <f>BN49-AZ49</f>
        <v>3.2077159999999996</v>
      </c>
      <c r="BU49" s="52">
        <f>BO49-BA49</f>
        <v>0</v>
      </c>
      <c r="BV49" s="52">
        <f>BP49-BB49</f>
        <v>0</v>
      </c>
      <c r="BW49" s="52">
        <f>BQ49-BC49</f>
        <v>0</v>
      </c>
      <c r="BX49" s="485"/>
      <c r="BY49" s="485"/>
      <c r="BZ49" s="485"/>
      <c r="CA49" s="485"/>
      <c r="CB49" s="485"/>
      <c r="CC49" s="485"/>
      <c r="CD49" s="485"/>
      <c r="CE49" s="485"/>
      <c r="CF49" s="485"/>
      <c r="CG49" s="485"/>
      <c r="CH49" s="485"/>
      <c r="CI49" s="485"/>
      <c r="CJ49" s="485"/>
    </row>
    <row r="50" spans="1:120">
      <c r="A50" s="486"/>
      <c r="B50" s="714">
        <v>2</v>
      </c>
      <c r="C50" s="715" t="s">
        <v>97</v>
      </c>
      <c r="D50" s="714" t="s">
        <v>509</v>
      </c>
      <c r="E50" s="716">
        <v>53</v>
      </c>
      <c r="F50" s="717"/>
      <c r="G50" s="717" t="str">
        <f t="shared" si="107"/>
        <v>042533L</v>
      </c>
      <c r="H50" s="271"/>
      <c r="I50" s="380" t="s">
        <v>609</v>
      </c>
      <c r="J50" s="380" t="s">
        <v>673</v>
      </c>
      <c r="K50" s="443" t="s">
        <v>109</v>
      </c>
      <c r="L50" s="445" t="s">
        <v>500</v>
      </c>
      <c r="M50" s="444">
        <f t="shared" si="108"/>
        <v>0</v>
      </c>
      <c r="N50" s="444">
        <f t="shared" si="108"/>
        <v>14</v>
      </c>
      <c r="O50" s="444">
        <f t="shared" si="108"/>
        <v>0</v>
      </c>
      <c r="P50" s="444">
        <f t="shared" si="108"/>
        <v>0</v>
      </c>
      <c r="Q50" s="444">
        <f t="shared" si="108"/>
        <v>0</v>
      </c>
      <c r="R50" s="444">
        <f t="shared" si="114"/>
        <v>0</v>
      </c>
      <c r="S50" s="470">
        <v>0</v>
      </c>
      <c r="T50" s="470">
        <v>31.22</v>
      </c>
      <c r="U50" s="470">
        <v>0</v>
      </c>
      <c r="V50" s="470">
        <v>0</v>
      </c>
      <c r="W50" s="470">
        <v>0</v>
      </c>
      <c r="X50" s="441"/>
      <c r="Y50" s="68">
        <f t="shared" ref="Y50:AC51" si="116">IF(AND(M50&lt;&gt;0,S50=0),#VALUE!,M50*S50)</f>
        <v>0</v>
      </c>
      <c r="Z50" s="68">
        <f t="shared" si="116"/>
        <v>437.08</v>
      </c>
      <c r="AA50" s="68">
        <f t="shared" si="116"/>
        <v>0</v>
      </c>
      <c r="AB50" s="68">
        <f t="shared" si="116"/>
        <v>0</v>
      </c>
      <c r="AC50" s="68">
        <f t="shared" si="116"/>
        <v>0</v>
      </c>
      <c r="AD50" s="441"/>
      <c r="AE50" s="444">
        <f t="shared" ref="AE50:AI51" si="117">SUMIF($G:$G,TEXT(AE$3,"000")&amp;TEXT($L50,"000"),$E:$E)</f>
        <v>0</v>
      </c>
      <c r="AF50" s="444">
        <f t="shared" si="117"/>
        <v>14</v>
      </c>
      <c r="AG50" s="444">
        <f t="shared" si="117"/>
        <v>0</v>
      </c>
      <c r="AH50" s="444">
        <f t="shared" si="117"/>
        <v>0</v>
      </c>
      <c r="AI50" s="444">
        <f t="shared" si="117"/>
        <v>0</v>
      </c>
      <c r="AJ50" s="441"/>
      <c r="AK50" s="449">
        <f t="shared" si="76"/>
        <v>0</v>
      </c>
      <c r="AL50" s="449">
        <f>ROUND(T50*(1+AL$1),2)</f>
        <v>34.42</v>
      </c>
      <c r="AM50" s="449">
        <f t="shared" si="77"/>
        <v>0</v>
      </c>
      <c r="AN50" s="449">
        <f t="shared" si="78"/>
        <v>0</v>
      </c>
      <c r="AO50" s="449">
        <f t="shared" si="79"/>
        <v>0</v>
      </c>
      <c r="AP50" s="441"/>
      <c r="AQ50" s="68">
        <f t="shared" si="82"/>
        <v>0</v>
      </c>
      <c r="AR50" s="68">
        <f t="shared" si="95"/>
        <v>481.88</v>
      </c>
      <c r="AS50" s="68">
        <f t="shared" si="84"/>
        <v>0</v>
      </c>
      <c r="AT50" s="68">
        <f t="shared" si="85"/>
        <v>0</v>
      </c>
      <c r="AU50" s="68">
        <f t="shared" si="86"/>
        <v>0</v>
      </c>
      <c r="AV50" s="68">
        <f t="shared" si="96"/>
        <v>44.800000000000011</v>
      </c>
      <c r="AW50" s="400">
        <f t="shared" si="97"/>
        <v>0.10249839846252405</v>
      </c>
      <c r="AX50" s="454">
        <v>52</v>
      </c>
      <c r="AY50" s="446"/>
      <c r="AZ50" s="446">
        <v>29.092765999999997</v>
      </c>
      <c r="BA50" s="446"/>
      <c r="BB50" s="446"/>
      <c r="BC50" s="446"/>
      <c r="BD50" s="446"/>
      <c r="BE50" s="452">
        <f t="shared" si="73"/>
        <v>0.10999999999999999</v>
      </c>
      <c r="BF50" s="442"/>
      <c r="BG50" s="442">
        <f t="shared" si="75"/>
        <v>2.71</v>
      </c>
      <c r="BH50" s="442"/>
      <c r="BI50" s="442"/>
      <c r="BJ50" s="442"/>
      <c r="BK50" s="441"/>
      <c r="BL50" s="441"/>
      <c r="BM50" s="450">
        <f t="shared" si="17"/>
        <v>0</v>
      </c>
      <c r="BN50" s="450">
        <f t="shared" si="18"/>
        <v>34.939741999999995</v>
      </c>
      <c r="BO50" s="450">
        <f t="shared" si="19"/>
        <v>0</v>
      </c>
      <c r="BP50" s="450">
        <f t="shared" si="20"/>
        <v>0</v>
      </c>
      <c r="BQ50" s="450">
        <f t="shared" si="38"/>
        <v>0</v>
      </c>
      <c r="BR50" s="441"/>
      <c r="BS50" s="442">
        <f t="shared" ref="BS50:BW51" si="118">BM50-AY50</f>
        <v>0</v>
      </c>
      <c r="BT50" s="442">
        <f t="shared" si="118"/>
        <v>5.846975999999998</v>
      </c>
      <c r="BU50" s="442">
        <f t="shared" si="118"/>
        <v>0</v>
      </c>
      <c r="BV50" s="442">
        <f t="shared" si="118"/>
        <v>0</v>
      </c>
      <c r="BW50" s="442">
        <f t="shared" si="118"/>
        <v>0</v>
      </c>
    </row>
    <row r="51" spans="1:120">
      <c r="A51" s="467"/>
      <c r="B51" s="714">
        <v>2</v>
      </c>
      <c r="C51" s="715" t="s">
        <v>97</v>
      </c>
      <c r="D51" s="714" t="s">
        <v>604</v>
      </c>
      <c r="E51" s="716">
        <f>45+1</f>
        <v>46</v>
      </c>
      <c r="F51" s="717"/>
      <c r="G51" s="717" t="str">
        <f t="shared" si="107"/>
        <v>042533T</v>
      </c>
      <c r="H51" s="847"/>
      <c r="I51" s="380" t="s">
        <v>609</v>
      </c>
      <c r="J51" s="380" t="s">
        <v>673</v>
      </c>
      <c r="K51" s="443" t="s">
        <v>109</v>
      </c>
      <c r="L51" s="445" t="s">
        <v>613</v>
      </c>
      <c r="M51" s="444">
        <f t="shared" si="108"/>
        <v>0</v>
      </c>
      <c r="N51" s="444">
        <f t="shared" si="108"/>
        <v>10</v>
      </c>
      <c r="O51" s="444">
        <f t="shared" si="108"/>
        <v>0</v>
      </c>
      <c r="P51" s="444">
        <f t="shared" si="108"/>
        <v>0</v>
      </c>
      <c r="Q51" s="444">
        <f t="shared" si="108"/>
        <v>0</v>
      </c>
      <c r="R51" s="444">
        <f t="shared" si="114"/>
        <v>0</v>
      </c>
      <c r="S51" s="470">
        <v>0</v>
      </c>
      <c r="T51" s="487">
        <v>21.379999999999995</v>
      </c>
      <c r="U51" s="470">
        <v>0</v>
      </c>
      <c r="V51" s="470">
        <v>0</v>
      </c>
      <c r="W51" s="470">
        <v>0</v>
      </c>
      <c r="X51" s="486"/>
      <c r="Y51" s="68">
        <f t="shared" si="116"/>
        <v>0</v>
      </c>
      <c r="Z51" s="68">
        <f t="shared" si="116"/>
        <v>213.79999999999995</v>
      </c>
      <c r="AA51" s="68">
        <f t="shared" si="116"/>
        <v>0</v>
      </c>
      <c r="AB51" s="68">
        <f t="shared" si="116"/>
        <v>0</v>
      </c>
      <c r="AC51" s="68">
        <f t="shared" si="116"/>
        <v>0</v>
      </c>
      <c r="AD51" s="486"/>
      <c r="AE51" s="444">
        <f t="shared" si="117"/>
        <v>0</v>
      </c>
      <c r="AF51" s="444">
        <f t="shared" si="117"/>
        <v>10</v>
      </c>
      <c r="AG51" s="444">
        <f t="shared" si="117"/>
        <v>0</v>
      </c>
      <c r="AH51" s="444">
        <f t="shared" si="117"/>
        <v>0</v>
      </c>
      <c r="AI51" s="444">
        <f t="shared" si="117"/>
        <v>0</v>
      </c>
      <c r="AJ51" s="486"/>
      <c r="AK51" s="449">
        <f t="shared" si="76"/>
        <v>0</v>
      </c>
      <c r="AL51" s="449">
        <f>AL50-AL102-AL102</f>
        <v>24.58</v>
      </c>
      <c r="AM51" s="449">
        <f t="shared" si="77"/>
        <v>0</v>
      </c>
      <c r="AN51" s="449">
        <f t="shared" si="78"/>
        <v>0</v>
      </c>
      <c r="AO51" s="449">
        <f t="shared" si="79"/>
        <v>0</v>
      </c>
      <c r="AP51" s="486"/>
      <c r="AQ51" s="68">
        <f t="shared" si="82"/>
        <v>0</v>
      </c>
      <c r="AR51" s="68">
        <f t="shared" si="95"/>
        <v>245.79999999999998</v>
      </c>
      <c r="AS51" s="68">
        <f t="shared" si="84"/>
        <v>0</v>
      </c>
      <c r="AT51" s="68">
        <f t="shared" si="85"/>
        <v>0</v>
      </c>
      <c r="AU51" s="68">
        <f t="shared" si="86"/>
        <v>0</v>
      </c>
      <c r="AV51" s="68">
        <f t="shared" si="96"/>
        <v>32.000000000000028</v>
      </c>
      <c r="AW51" s="400">
        <f t="shared" si="97"/>
        <v>0.14967259120673543</v>
      </c>
      <c r="AX51" s="454">
        <v>52</v>
      </c>
      <c r="AY51" s="446"/>
      <c r="AZ51" s="446">
        <v>18.474819999999998</v>
      </c>
      <c r="BA51" s="446"/>
      <c r="BB51" s="446"/>
      <c r="BC51" s="446"/>
      <c r="BD51" s="446"/>
      <c r="BE51" s="452">
        <f t="shared" si="73"/>
        <v>0.10999999999999999</v>
      </c>
      <c r="BF51" s="442"/>
      <c r="BG51" s="442">
        <f t="shared" si="75"/>
        <v>3.34</v>
      </c>
      <c r="BH51" s="442"/>
      <c r="BI51" s="442"/>
      <c r="BJ51" s="442"/>
      <c r="BK51" s="486"/>
      <c r="BL51" s="486"/>
      <c r="BM51" s="450">
        <f t="shared" si="17"/>
        <v>0</v>
      </c>
      <c r="BN51" s="450">
        <f t="shared" si="18"/>
        <v>24.951157999999996</v>
      </c>
      <c r="BO51" s="450">
        <f t="shared" si="19"/>
        <v>0</v>
      </c>
      <c r="BP51" s="450">
        <f t="shared" si="20"/>
        <v>0</v>
      </c>
      <c r="BQ51" s="450">
        <f t="shared" si="38"/>
        <v>0</v>
      </c>
      <c r="BR51" s="486"/>
      <c r="BS51" s="442">
        <f t="shared" si="118"/>
        <v>0</v>
      </c>
      <c r="BT51" s="442">
        <f t="shared" si="118"/>
        <v>6.4763379999999984</v>
      </c>
      <c r="BU51" s="442">
        <f t="shared" si="118"/>
        <v>0</v>
      </c>
      <c r="BV51" s="442">
        <f t="shared" si="118"/>
        <v>0</v>
      </c>
      <c r="BW51" s="442">
        <f t="shared" si="118"/>
        <v>0</v>
      </c>
      <c r="BX51" s="441"/>
      <c r="BY51" s="441"/>
      <c r="BZ51" s="441"/>
      <c r="CA51" s="441"/>
      <c r="CB51" s="441"/>
      <c r="CI51" s="455"/>
      <c r="CJ51" s="455"/>
    </row>
    <row r="52" spans="1:120">
      <c r="B52" s="714">
        <v>2</v>
      </c>
      <c r="C52" s="715" t="s">
        <v>97</v>
      </c>
      <c r="D52" s="714">
        <v>535</v>
      </c>
      <c r="E52" s="716">
        <v>88</v>
      </c>
      <c r="F52" s="717"/>
      <c r="G52" s="717" t="str">
        <f t="shared" si="107"/>
        <v>042535</v>
      </c>
      <c r="H52" s="271"/>
      <c r="I52" t="s">
        <v>114</v>
      </c>
      <c r="J52" t="s">
        <v>87</v>
      </c>
      <c r="K52" s="57" t="s">
        <v>117</v>
      </c>
      <c r="L52" s="91">
        <v>474</v>
      </c>
      <c r="M52" s="67">
        <f t="shared" si="108"/>
        <v>0</v>
      </c>
      <c r="N52" s="67">
        <f t="shared" si="108"/>
        <v>83</v>
      </c>
      <c r="O52" s="67">
        <f t="shared" si="108"/>
        <v>0</v>
      </c>
      <c r="P52" s="67">
        <f t="shared" si="108"/>
        <v>0</v>
      </c>
      <c r="Q52" s="67">
        <f t="shared" si="108"/>
        <v>0</v>
      </c>
      <c r="R52" s="444">
        <f t="shared" si="114"/>
        <v>0</v>
      </c>
      <c r="S52" s="470">
        <v>0</v>
      </c>
      <c r="T52" s="470">
        <v>29.88</v>
      </c>
      <c r="U52" s="470">
        <v>0</v>
      </c>
      <c r="V52" s="470">
        <v>0</v>
      </c>
      <c r="W52" s="470">
        <v>0</v>
      </c>
      <c r="Y52" s="68">
        <f t="shared" ref="Y52:AC55" si="119">IF(AND(M52&lt;&gt;0,S52=0),#VALUE!,M52*S52)</f>
        <v>0</v>
      </c>
      <c r="Z52" s="68">
        <f t="shared" si="119"/>
        <v>2480.04</v>
      </c>
      <c r="AA52" s="68">
        <f t="shared" si="119"/>
        <v>0</v>
      </c>
      <c r="AB52" s="68">
        <f t="shared" si="119"/>
        <v>0</v>
      </c>
      <c r="AC52" s="68">
        <f t="shared" si="119"/>
        <v>0</v>
      </c>
      <c r="AE52" s="67">
        <f>M52</f>
        <v>0</v>
      </c>
      <c r="AF52" s="67">
        <f>N52</f>
        <v>83</v>
      </c>
      <c r="AG52" s="67">
        <f>O52</f>
        <v>0</v>
      </c>
      <c r="AH52" s="67">
        <f>P52</f>
        <v>0</v>
      </c>
      <c r="AI52" s="67">
        <f>Q52</f>
        <v>0</v>
      </c>
      <c r="AK52" s="449">
        <f t="shared" si="76"/>
        <v>0</v>
      </c>
      <c r="AL52" s="449">
        <f>ROUND(T52*(1+AL$1),2)</f>
        <v>32.94</v>
      </c>
      <c r="AM52" s="449">
        <f t="shared" si="77"/>
        <v>0</v>
      </c>
      <c r="AN52" s="449">
        <f t="shared" si="78"/>
        <v>0</v>
      </c>
      <c r="AO52" s="449">
        <f t="shared" si="79"/>
        <v>0</v>
      </c>
      <c r="AQ52" s="68">
        <f t="shared" si="82"/>
        <v>0</v>
      </c>
      <c r="AR52" s="68">
        <f t="shared" ref="AR52:AR74" si="120">IF(AND(AF52&lt;&gt;0,AL52=0),#VALUE!,AF52*AL52)</f>
        <v>2734.02</v>
      </c>
      <c r="AS52" s="68">
        <f t="shared" ref="AS52:AU53" si="121">IF(AND(AG52&lt;&gt;0,AM52=0),#VALUE!,AG52*AM52)</f>
        <v>0</v>
      </c>
      <c r="AT52" s="68">
        <f t="shared" si="121"/>
        <v>0</v>
      </c>
      <c r="AU52" s="68">
        <f t="shared" si="121"/>
        <v>0</v>
      </c>
      <c r="AV52" s="68">
        <f t="shared" si="96"/>
        <v>253.98000000000002</v>
      </c>
      <c r="AW52" s="400">
        <f t="shared" si="97"/>
        <v>0.10240963855421688</v>
      </c>
      <c r="AX52" s="392">
        <v>40</v>
      </c>
      <c r="AY52" s="446"/>
      <c r="AZ52" s="446">
        <v>27.834042</v>
      </c>
      <c r="BA52" s="446"/>
      <c r="BB52" s="446"/>
      <c r="BC52" s="446"/>
      <c r="BD52" s="131"/>
      <c r="BE52" s="452">
        <f t="shared" si="73"/>
        <v>9.000000000000008E-2</v>
      </c>
      <c r="BF52" s="52"/>
      <c r="BG52" s="52">
        <f t="shared" si="75"/>
        <v>2.59</v>
      </c>
      <c r="BH52" s="52"/>
      <c r="BI52" s="52"/>
      <c r="BJ52" s="52"/>
      <c r="BM52" s="450">
        <f t="shared" si="17"/>
        <v>0</v>
      </c>
      <c r="BN52" s="450">
        <f t="shared" si="18"/>
        <v>33.437393999999998</v>
      </c>
      <c r="BO52" s="450">
        <f t="shared" si="19"/>
        <v>0</v>
      </c>
      <c r="BP52" s="450">
        <f t="shared" si="20"/>
        <v>0</v>
      </c>
      <c r="BQ52" s="450">
        <f t="shared" si="38"/>
        <v>0</v>
      </c>
      <c r="BS52" s="52">
        <f>BM52-AY52</f>
        <v>0</v>
      </c>
      <c r="BT52" s="52">
        <f>BN52-AZ52</f>
        <v>5.6033519999999974</v>
      </c>
      <c r="BU52" s="52">
        <f>BO52-BA52</f>
        <v>0</v>
      </c>
      <c r="BV52" s="52">
        <f>BP52-BB52</f>
        <v>0</v>
      </c>
      <c r="BW52" s="52">
        <f>BQ52-BC52</f>
        <v>0</v>
      </c>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row>
    <row r="53" spans="1:120">
      <c r="A53" s="486"/>
      <c r="B53" s="714">
        <v>2</v>
      </c>
      <c r="C53" s="715" t="s">
        <v>97</v>
      </c>
      <c r="D53" s="714" t="s">
        <v>510</v>
      </c>
      <c r="E53" s="716">
        <f>865+1</f>
        <v>866</v>
      </c>
      <c r="F53" s="717"/>
      <c r="G53" s="717" t="str">
        <f t="shared" si="107"/>
        <v>042535L</v>
      </c>
      <c r="H53" s="847"/>
      <c r="I53" s="380" t="s">
        <v>612</v>
      </c>
      <c r="J53" s="441" t="s">
        <v>87</v>
      </c>
      <c r="K53" s="443" t="s">
        <v>504</v>
      </c>
      <c r="L53" s="445" t="s">
        <v>501</v>
      </c>
      <c r="M53" s="444">
        <f t="shared" si="108"/>
        <v>0</v>
      </c>
      <c r="N53" s="444">
        <f t="shared" si="108"/>
        <v>265</v>
      </c>
      <c r="O53" s="444">
        <f t="shared" si="108"/>
        <v>0</v>
      </c>
      <c r="P53" s="444">
        <f t="shared" si="108"/>
        <v>0</v>
      </c>
      <c r="Q53" s="444">
        <f t="shared" si="108"/>
        <v>0</v>
      </c>
      <c r="R53" s="444">
        <f t="shared" si="114"/>
        <v>0</v>
      </c>
      <c r="S53" s="470">
        <v>0</v>
      </c>
      <c r="T53" s="487">
        <v>29.88</v>
      </c>
      <c r="U53" s="470">
        <v>0</v>
      </c>
      <c r="V53" s="470">
        <v>0</v>
      </c>
      <c r="W53" s="470">
        <v>0</v>
      </c>
      <c r="X53" s="441"/>
      <c r="Y53" s="68">
        <f t="shared" si="119"/>
        <v>0</v>
      </c>
      <c r="Z53" s="68">
        <f t="shared" si="119"/>
        <v>7918.2</v>
      </c>
      <c r="AA53" s="68">
        <f t="shared" si="119"/>
        <v>0</v>
      </c>
      <c r="AB53" s="68">
        <f t="shared" si="119"/>
        <v>0</v>
      </c>
      <c r="AC53" s="696">
        <f t="shared" si="119"/>
        <v>0</v>
      </c>
      <c r="AD53" s="441"/>
      <c r="AE53" s="444">
        <f>SUMIF($G:$G,TEXT(AE$3,"000")&amp;TEXT($L53,"000"),$E:$E)</f>
        <v>0</v>
      </c>
      <c r="AF53" s="444">
        <f>SUMIF($G:$G,TEXT(AF$3,"000")&amp;TEXT($L53,"000"),$E:$E)</f>
        <v>265</v>
      </c>
      <c r="AG53" s="444">
        <f>SUMIF($G:$G,TEXT(AG$3,"000")&amp;TEXT($L53,"000"),$E:$E)</f>
        <v>0</v>
      </c>
      <c r="AH53" s="444">
        <f>SUMIF($G:$G,TEXT(AH$3,"000")&amp;TEXT($L53,"000"),$E:$E)</f>
        <v>0</v>
      </c>
      <c r="AI53" s="444">
        <f>SUMIF($G:$G,TEXT(AI$3,"000")&amp;TEXT($L53,"000"),$E:$E)</f>
        <v>0</v>
      </c>
      <c r="AJ53" s="441"/>
      <c r="AK53" s="449">
        <f t="shared" si="76"/>
        <v>0</v>
      </c>
      <c r="AL53" s="449">
        <f>AL52</f>
        <v>32.94</v>
      </c>
      <c r="AM53" s="449">
        <f t="shared" si="77"/>
        <v>0</v>
      </c>
      <c r="AN53" s="449">
        <f t="shared" si="78"/>
        <v>0</v>
      </c>
      <c r="AO53" s="449">
        <f t="shared" si="79"/>
        <v>0</v>
      </c>
      <c r="AP53" s="441"/>
      <c r="AQ53" s="68">
        <f t="shared" si="82"/>
        <v>0</v>
      </c>
      <c r="AR53" s="68">
        <f t="shared" si="120"/>
        <v>8729.0999999999985</v>
      </c>
      <c r="AS53" s="68">
        <f t="shared" si="121"/>
        <v>0</v>
      </c>
      <c r="AT53" s="68">
        <f t="shared" si="121"/>
        <v>0</v>
      </c>
      <c r="AU53" s="68">
        <f t="shared" si="121"/>
        <v>0</v>
      </c>
      <c r="AV53" s="68">
        <f t="shared" si="96"/>
        <v>810.89999999999873</v>
      </c>
      <c r="AW53" s="400">
        <f t="shared" si="97"/>
        <v>0.10240963855421671</v>
      </c>
      <c r="AX53" s="454">
        <v>26</v>
      </c>
      <c r="AY53" s="446"/>
      <c r="AZ53" s="446">
        <v>27.834042</v>
      </c>
      <c r="BA53" s="446"/>
      <c r="BB53" s="446"/>
      <c r="BC53" s="446"/>
      <c r="BD53" s="446"/>
      <c r="BE53" s="452">
        <f t="shared" si="73"/>
        <v>0.06</v>
      </c>
      <c r="BF53" s="442"/>
      <c r="BG53" s="442">
        <f t="shared" si="75"/>
        <v>2.56</v>
      </c>
      <c r="BH53" s="442"/>
      <c r="BI53" s="442"/>
      <c r="BJ53" s="442"/>
      <c r="BK53" s="441"/>
      <c r="BL53" s="441"/>
      <c r="BM53" s="450">
        <f t="shared" si="17"/>
        <v>0</v>
      </c>
      <c r="BN53" s="450">
        <f t="shared" si="18"/>
        <v>33.437393999999998</v>
      </c>
      <c r="BO53" s="450">
        <f t="shared" si="19"/>
        <v>0</v>
      </c>
      <c r="BP53" s="450">
        <f t="shared" si="20"/>
        <v>0</v>
      </c>
      <c r="BQ53" s="450">
        <f t="shared" si="38"/>
        <v>0</v>
      </c>
      <c r="BR53" s="441"/>
      <c r="BS53" s="442">
        <f t="shared" ref="BS53:BW53" si="122">BM53-AY53</f>
        <v>0</v>
      </c>
      <c r="BT53" s="442">
        <f t="shared" si="122"/>
        <v>5.6033519999999974</v>
      </c>
      <c r="BU53" s="442">
        <f t="shared" si="122"/>
        <v>0</v>
      </c>
      <c r="BV53" s="442">
        <f t="shared" si="122"/>
        <v>0</v>
      </c>
      <c r="BW53" s="442">
        <f t="shared" si="122"/>
        <v>0</v>
      </c>
      <c r="DC53" s="486"/>
      <c r="DD53" s="486"/>
    </row>
    <row r="54" spans="1:120">
      <c r="A54" s="467"/>
      <c r="B54" s="714">
        <v>2</v>
      </c>
      <c r="C54" s="715" t="s">
        <v>97</v>
      </c>
      <c r="D54" s="714" t="s">
        <v>606</v>
      </c>
      <c r="E54" s="716">
        <f>403+1+1</f>
        <v>405</v>
      </c>
      <c r="F54" s="717"/>
      <c r="G54" s="717" t="str">
        <f t="shared" si="107"/>
        <v>042535T</v>
      </c>
      <c r="H54" s="847"/>
      <c r="I54" t="s">
        <v>114</v>
      </c>
      <c r="J54" t="s">
        <v>87</v>
      </c>
      <c r="K54" s="57" t="s">
        <v>118</v>
      </c>
      <c r="L54" s="91">
        <v>484</v>
      </c>
      <c r="M54" s="67">
        <f t="shared" ref="M54:Q63" si="123">SUMIF($G:$G,TEXT(M$3,"000")&amp;TEXT($L54,"000"),$E:$E)</f>
        <v>0</v>
      </c>
      <c r="N54" s="67">
        <f t="shared" si="123"/>
        <v>46</v>
      </c>
      <c r="O54" s="67">
        <f t="shared" si="123"/>
        <v>0</v>
      </c>
      <c r="P54" s="67">
        <f t="shared" si="123"/>
        <v>0</v>
      </c>
      <c r="Q54" s="67">
        <f t="shared" si="123"/>
        <v>0</v>
      </c>
      <c r="R54" s="444">
        <f t="shared" si="114"/>
        <v>0</v>
      </c>
      <c r="S54" s="470">
        <v>0</v>
      </c>
      <c r="T54" s="470">
        <v>28.44</v>
      </c>
      <c r="U54" s="470">
        <v>0</v>
      </c>
      <c r="V54" s="470">
        <v>0</v>
      </c>
      <c r="W54" s="470">
        <v>0</v>
      </c>
      <c r="Y54" s="68">
        <f t="shared" si="119"/>
        <v>0</v>
      </c>
      <c r="Z54" s="68">
        <f t="shared" si="119"/>
        <v>1308.24</v>
      </c>
      <c r="AA54" s="68">
        <f t="shared" si="119"/>
        <v>0</v>
      </c>
      <c r="AB54" s="68">
        <f t="shared" si="119"/>
        <v>0</v>
      </c>
      <c r="AC54" s="68">
        <f t="shared" si="119"/>
        <v>0</v>
      </c>
      <c r="AE54" s="67">
        <f>M54</f>
        <v>0</v>
      </c>
      <c r="AF54" s="67">
        <f t="shared" ref="AF54:AI54" si="124">N54</f>
        <v>46</v>
      </c>
      <c r="AG54" s="67">
        <f t="shared" si="124"/>
        <v>0</v>
      </c>
      <c r="AH54" s="67">
        <f t="shared" si="124"/>
        <v>0</v>
      </c>
      <c r="AI54" s="67">
        <f t="shared" si="124"/>
        <v>0</v>
      </c>
      <c r="AK54" s="449">
        <f t="shared" si="76"/>
        <v>0</v>
      </c>
      <c r="AL54" s="449">
        <f>ROUND(T54*(1+AL$1),2)</f>
        <v>31.35</v>
      </c>
      <c r="AM54" s="449">
        <f t="shared" si="77"/>
        <v>0</v>
      </c>
      <c r="AN54" s="449">
        <f t="shared" si="78"/>
        <v>0</v>
      </c>
      <c r="AO54" s="449">
        <f t="shared" si="79"/>
        <v>0</v>
      </c>
      <c r="AQ54" s="68">
        <f t="shared" ref="AQ54:AQ79" si="125">IF(AND(AE54&lt;&gt;0,AK54=0),#VALUE!,AE54*AK54)</f>
        <v>0</v>
      </c>
      <c r="AR54" s="68">
        <f t="shared" si="120"/>
        <v>1442.1000000000001</v>
      </c>
      <c r="AS54" s="68">
        <f t="shared" ref="AS54:AS79" si="126">IF(AND(AG54&lt;&gt;0,AM54=0),#VALUE!,AG54*AM54)</f>
        <v>0</v>
      </c>
      <c r="AT54" s="68">
        <f t="shared" ref="AT54:AT79" si="127">IF(AND(AH54&lt;&gt;0,AN54=0),#VALUE!,AH54*AN54)</f>
        <v>0</v>
      </c>
      <c r="AU54" s="68">
        <f t="shared" ref="AU54:AU79" si="128">IF(AND(AI54&lt;&gt;0,AO54=0),#VALUE!,AI54*AO54)</f>
        <v>0</v>
      </c>
      <c r="AV54" s="68">
        <f t="shared" si="96"/>
        <v>133.86000000000013</v>
      </c>
      <c r="AW54" s="400">
        <f t="shared" si="97"/>
        <v>0.10232067510548533</v>
      </c>
      <c r="AX54" s="392">
        <v>40</v>
      </c>
      <c r="AY54" s="446"/>
      <c r="AZ54" s="446">
        <v>26.494109999999999</v>
      </c>
      <c r="BA54" s="446"/>
      <c r="BB54" s="446"/>
      <c r="BC54" s="446"/>
      <c r="BD54" s="131"/>
      <c r="BE54" s="452">
        <f t="shared" si="73"/>
        <v>9.000000000000008E-2</v>
      </c>
      <c r="BF54" s="52"/>
      <c r="BG54" s="52">
        <f t="shared" si="75"/>
        <v>2.4700000000000002</v>
      </c>
      <c r="BH54" s="52"/>
      <c r="BI54" s="52"/>
      <c r="BJ54" s="52"/>
      <c r="BM54" s="450">
        <f t="shared" si="17"/>
        <v>0</v>
      </c>
      <c r="BN54" s="450">
        <f t="shared" si="18"/>
        <v>31.823384999999998</v>
      </c>
      <c r="BO54" s="450">
        <f t="shared" si="19"/>
        <v>0</v>
      </c>
      <c r="BP54" s="450">
        <f t="shared" si="20"/>
        <v>0</v>
      </c>
      <c r="BQ54" s="450">
        <f t="shared" si="38"/>
        <v>0</v>
      </c>
      <c r="BS54" s="52">
        <f t="shared" ref="BS54:BW55" si="129">BM54-AY54</f>
        <v>0</v>
      </c>
      <c r="BT54" s="52">
        <f t="shared" si="129"/>
        <v>5.3292749999999991</v>
      </c>
      <c r="BU54" s="52">
        <f t="shared" si="129"/>
        <v>0</v>
      </c>
      <c r="BV54" s="52">
        <f t="shared" si="129"/>
        <v>0</v>
      </c>
      <c r="BW54" s="52">
        <f t="shared" si="129"/>
        <v>0</v>
      </c>
      <c r="BX54" s="441"/>
      <c r="BY54" s="441"/>
      <c r="BZ54" s="441"/>
      <c r="CA54" s="441"/>
      <c r="CB54" s="441"/>
      <c r="CQ54" s="486"/>
      <c r="CR54" s="486"/>
    </row>
    <row r="55" spans="1:120">
      <c r="A55" s="293"/>
      <c r="B55" s="714">
        <v>2</v>
      </c>
      <c r="C55" s="715" t="s">
        <v>97</v>
      </c>
      <c r="D55" s="714">
        <v>536</v>
      </c>
      <c r="E55" s="716">
        <v>83</v>
      </c>
      <c r="F55" s="717"/>
      <c r="G55" s="717" t="str">
        <f t="shared" si="107"/>
        <v>042536</v>
      </c>
      <c r="H55" s="271"/>
      <c r="I55" s="380" t="s">
        <v>612</v>
      </c>
      <c r="J55" s="441" t="s">
        <v>87</v>
      </c>
      <c r="K55" s="443" t="s">
        <v>505</v>
      </c>
      <c r="L55" s="445" t="s">
        <v>502</v>
      </c>
      <c r="M55" s="444">
        <f t="shared" si="123"/>
        <v>0</v>
      </c>
      <c r="N55" s="444">
        <f t="shared" si="123"/>
        <v>127</v>
      </c>
      <c r="O55" s="444">
        <f t="shared" si="123"/>
        <v>0</v>
      </c>
      <c r="P55" s="444">
        <f t="shared" si="123"/>
        <v>0</v>
      </c>
      <c r="Q55" s="444">
        <f t="shared" si="123"/>
        <v>0</v>
      </c>
      <c r="R55" s="444">
        <f t="shared" si="114"/>
        <v>0</v>
      </c>
      <c r="S55" s="470">
        <v>0</v>
      </c>
      <c r="T55" s="487">
        <v>28.44</v>
      </c>
      <c r="U55" s="470">
        <v>0</v>
      </c>
      <c r="V55" s="470">
        <v>0</v>
      </c>
      <c r="W55" s="470">
        <v>0</v>
      </c>
      <c r="X55" s="441"/>
      <c r="Y55" s="68">
        <f t="shared" si="119"/>
        <v>0</v>
      </c>
      <c r="Z55" s="68">
        <f t="shared" si="119"/>
        <v>3611.88</v>
      </c>
      <c r="AA55" s="68">
        <f t="shared" si="119"/>
        <v>0</v>
      </c>
      <c r="AB55" s="68">
        <f t="shared" si="119"/>
        <v>0</v>
      </c>
      <c r="AC55" s="68">
        <f t="shared" si="119"/>
        <v>0</v>
      </c>
      <c r="AD55" s="441"/>
      <c r="AE55" s="444">
        <f t="shared" ref="AE55:AI58" si="130">SUMIF($G:$G,TEXT(AE$3,"000")&amp;TEXT($L55,"000"),$E:$E)</f>
        <v>0</v>
      </c>
      <c r="AF55" s="444">
        <f t="shared" si="130"/>
        <v>127</v>
      </c>
      <c r="AG55" s="444">
        <f t="shared" si="130"/>
        <v>0</v>
      </c>
      <c r="AH55" s="444">
        <f t="shared" si="130"/>
        <v>0</v>
      </c>
      <c r="AI55" s="444">
        <f t="shared" si="130"/>
        <v>0</v>
      </c>
      <c r="AJ55" s="441"/>
      <c r="AK55" s="449">
        <f t="shared" si="76"/>
        <v>0</v>
      </c>
      <c r="AL55" s="449">
        <f>AL54</f>
        <v>31.35</v>
      </c>
      <c r="AM55" s="449">
        <f t="shared" si="77"/>
        <v>0</v>
      </c>
      <c r="AN55" s="449">
        <f t="shared" si="78"/>
        <v>0</v>
      </c>
      <c r="AO55" s="449">
        <f t="shared" si="79"/>
        <v>0</v>
      </c>
      <c r="AP55" s="441"/>
      <c r="AQ55" s="68">
        <f t="shared" si="125"/>
        <v>0</v>
      </c>
      <c r="AR55" s="68">
        <f t="shared" si="120"/>
        <v>3981.4500000000003</v>
      </c>
      <c r="AS55" s="68">
        <f t="shared" si="126"/>
        <v>0</v>
      </c>
      <c r="AT55" s="68">
        <f t="shared" si="127"/>
        <v>0</v>
      </c>
      <c r="AU55" s="68">
        <f t="shared" si="128"/>
        <v>0</v>
      </c>
      <c r="AV55" s="68">
        <f t="shared" si="96"/>
        <v>369.57000000000016</v>
      </c>
      <c r="AW55" s="400">
        <f t="shared" si="97"/>
        <v>0.10232067510548527</v>
      </c>
      <c r="AX55" s="454">
        <v>26</v>
      </c>
      <c r="AY55" s="446"/>
      <c r="AZ55" s="446">
        <v>26.494109999999999</v>
      </c>
      <c r="BA55" s="446"/>
      <c r="BB55" s="446"/>
      <c r="BC55" s="446"/>
      <c r="BD55" s="446"/>
      <c r="BE55" s="452">
        <f t="shared" si="73"/>
        <v>0.06</v>
      </c>
      <c r="BF55" s="442"/>
      <c r="BG55" s="442">
        <f t="shared" si="75"/>
        <v>2.44</v>
      </c>
      <c r="BH55" s="442"/>
      <c r="BI55" s="442"/>
      <c r="BJ55" s="442"/>
      <c r="BK55" s="441"/>
      <c r="BL55" s="441"/>
      <c r="BM55" s="450">
        <f t="shared" si="17"/>
        <v>0</v>
      </c>
      <c r="BN55" s="450">
        <f t="shared" si="18"/>
        <v>31.823384999999998</v>
      </c>
      <c r="BO55" s="450">
        <f t="shared" si="19"/>
        <v>0</v>
      </c>
      <c r="BP55" s="450">
        <f t="shared" si="20"/>
        <v>0</v>
      </c>
      <c r="BQ55" s="450">
        <f t="shared" si="38"/>
        <v>0</v>
      </c>
      <c r="BR55" s="441"/>
      <c r="BS55" s="442">
        <f t="shared" si="129"/>
        <v>0</v>
      </c>
      <c r="BT55" s="442">
        <f t="shared" si="129"/>
        <v>5.3292749999999991</v>
      </c>
      <c r="BU55" s="442">
        <f t="shared" si="129"/>
        <v>0</v>
      </c>
      <c r="BV55" s="442">
        <f t="shared" si="129"/>
        <v>0</v>
      </c>
      <c r="BW55" s="442">
        <f t="shared" si="129"/>
        <v>0</v>
      </c>
    </row>
    <row r="56" spans="1:120">
      <c r="A56" s="486"/>
      <c r="B56" s="714">
        <v>2</v>
      </c>
      <c r="C56" s="715" t="s">
        <v>97</v>
      </c>
      <c r="D56" s="714" t="s">
        <v>511</v>
      </c>
      <c r="E56" s="716">
        <v>340</v>
      </c>
      <c r="F56" s="717"/>
      <c r="G56" s="717" t="str">
        <f t="shared" si="107"/>
        <v>042536L</v>
      </c>
      <c r="H56" s="271"/>
      <c r="I56" s="380" t="s">
        <v>605</v>
      </c>
      <c r="J56" s="622" t="s">
        <v>676</v>
      </c>
      <c r="K56" s="443" t="s">
        <v>109</v>
      </c>
      <c r="L56" s="537" t="s">
        <v>674</v>
      </c>
      <c r="M56" s="444">
        <f t="shared" si="123"/>
        <v>0</v>
      </c>
      <c r="N56" s="444">
        <f t="shared" si="123"/>
        <v>43</v>
      </c>
      <c r="O56" s="444">
        <f t="shared" si="123"/>
        <v>0</v>
      </c>
      <c r="P56" s="444">
        <f t="shared" si="123"/>
        <v>0</v>
      </c>
      <c r="Q56" s="444">
        <f t="shared" si="123"/>
        <v>0</v>
      </c>
      <c r="R56" s="444">
        <f t="shared" ref="R56" si="131">IF(SUM(M56:Q56)&gt;0,0,1)</f>
        <v>0</v>
      </c>
      <c r="S56" s="470">
        <v>0</v>
      </c>
      <c r="T56" s="470">
        <v>31.44</v>
      </c>
      <c r="U56" s="470">
        <v>0</v>
      </c>
      <c r="V56" s="470">
        <v>0</v>
      </c>
      <c r="W56" s="470">
        <v>0</v>
      </c>
      <c r="X56" s="622"/>
      <c r="Y56" s="68">
        <f t="shared" ref="Y56" si="132">IF(AND(M56&lt;&gt;0,S56=0),#VALUE!,M56*S56)</f>
        <v>0</v>
      </c>
      <c r="Z56" s="68">
        <f t="shared" ref="Z56" si="133">IF(AND(N56&lt;&gt;0,T56=0),#VALUE!,N56*T56)</f>
        <v>1351.92</v>
      </c>
      <c r="AA56" s="68">
        <f t="shared" ref="AA56" si="134">IF(AND(O56&lt;&gt;0,U56=0),#VALUE!,O56*U56)</f>
        <v>0</v>
      </c>
      <c r="AB56" s="68">
        <f t="shared" ref="AB56" si="135">IF(AND(P56&lt;&gt;0,V56=0),#VALUE!,P56*V56)</f>
        <v>0</v>
      </c>
      <c r="AC56" s="68">
        <f t="shared" ref="AC56" si="136">IF(AND(Q56&lt;&gt;0,W56=0),#VALUE!,Q56*W56)</f>
        <v>0</v>
      </c>
      <c r="AD56" s="622"/>
      <c r="AE56" s="444">
        <f t="shared" si="130"/>
        <v>0</v>
      </c>
      <c r="AF56" s="444">
        <f t="shared" si="130"/>
        <v>43</v>
      </c>
      <c r="AG56" s="444">
        <f t="shared" si="130"/>
        <v>0</v>
      </c>
      <c r="AH56" s="444">
        <f t="shared" si="130"/>
        <v>0</v>
      </c>
      <c r="AI56" s="444">
        <f t="shared" si="130"/>
        <v>0</v>
      </c>
      <c r="AJ56" s="622"/>
      <c r="AK56" s="449">
        <f t="shared" si="76"/>
        <v>0</v>
      </c>
      <c r="AL56" s="449">
        <f>ROUND(T56*(1+AL$1),2)</f>
        <v>34.659999999999997</v>
      </c>
      <c r="AM56" s="449">
        <f t="shared" si="77"/>
        <v>0</v>
      </c>
      <c r="AN56" s="449">
        <f t="shared" si="78"/>
        <v>0</v>
      </c>
      <c r="AO56" s="449">
        <f t="shared" si="79"/>
        <v>0</v>
      </c>
      <c r="AP56" s="622"/>
      <c r="AQ56" s="68">
        <f t="shared" si="125"/>
        <v>0</v>
      </c>
      <c r="AR56" s="68">
        <f t="shared" si="120"/>
        <v>1490.3799999999999</v>
      </c>
      <c r="AS56" s="68">
        <f t="shared" si="126"/>
        <v>0</v>
      </c>
      <c r="AT56" s="68">
        <f t="shared" si="127"/>
        <v>0</v>
      </c>
      <c r="AU56" s="68">
        <f t="shared" si="128"/>
        <v>0</v>
      </c>
      <c r="AV56" s="622"/>
      <c r="AW56" s="622"/>
      <c r="AX56" s="454">
        <v>26</v>
      </c>
      <c r="AY56" s="446"/>
      <c r="AZ56" s="446">
        <v>29.295785999999996</v>
      </c>
      <c r="BA56" s="446"/>
      <c r="BB56" s="446"/>
      <c r="BC56" s="446"/>
      <c r="BD56" s="446"/>
      <c r="BE56" s="452">
        <f t="shared" ref="BE56" si="137">ROUND(AX56*$BE$2,2)+ROUND(AX56*$BE$1,2)</f>
        <v>0.06</v>
      </c>
      <c r="BF56" s="442"/>
      <c r="BG56" s="442">
        <f t="shared" si="75"/>
        <v>2.68</v>
      </c>
      <c r="BH56" s="442"/>
      <c r="BI56" s="442"/>
      <c r="BJ56" s="442"/>
      <c r="BK56" s="622"/>
      <c r="BL56" s="622"/>
      <c r="BM56" s="450">
        <f t="shared" si="17"/>
        <v>0</v>
      </c>
      <c r="BN56" s="450">
        <f t="shared" si="18"/>
        <v>35.183365999999992</v>
      </c>
      <c r="BO56" s="450">
        <f t="shared" si="19"/>
        <v>0</v>
      </c>
      <c r="BP56" s="450">
        <f t="shared" si="20"/>
        <v>0</v>
      </c>
      <c r="BQ56" s="450">
        <f t="shared" si="38"/>
        <v>0</v>
      </c>
      <c r="BR56" s="622"/>
      <c r="BS56" s="442">
        <f t="shared" ref="BS56" si="138">BM56-AY56</f>
        <v>0</v>
      </c>
      <c r="BT56" s="442">
        <f t="shared" ref="BT56" si="139">BN56-AZ56</f>
        <v>5.8875799999999963</v>
      </c>
      <c r="BU56" s="442">
        <f t="shared" ref="BU56" si="140">BO56-BA56</f>
        <v>0</v>
      </c>
      <c r="BV56" s="442">
        <f t="shared" ref="BV56" si="141">BP56-BB56</f>
        <v>0</v>
      </c>
      <c r="BW56" s="442">
        <f t="shared" ref="BW56" si="142">BQ56-BC56</f>
        <v>0</v>
      </c>
      <c r="BX56" s="441"/>
      <c r="BY56" s="441"/>
      <c r="BZ56" s="441"/>
      <c r="CA56" s="441"/>
      <c r="CB56" s="441"/>
    </row>
    <row r="57" spans="1:120" s="622" customFormat="1">
      <c r="A57" s="467"/>
      <c r="B57" s="714">
        <v>2</v>
      </c>
      <c r="C57" s="715" t="s">
        <v>97</v>
      </c>
      <c r="D57" s="714" t="s">
        <v>607</v>
      </c>
      <c r="E57" s="716">
        <v>342</v>
      </c>
      <c r="F57" s="717"/>
      <c r="G57" s="717" t="str">
        <f t="shared" si="107"/>
        <v>042536T</v>
      </c>
      <c r="H57" s="271"/>
      <c r="I57" s="350" t="s">
        <v>410</v>
      </c>
      <c r="J57" s="415" t="s">
        <v>479</v>
      </c>
      <c r="K57" s="57" t="s">
        <v>111</v>
      </c>
      <c r="L57" s="91">
        <v>499</v>
      </c>
      <c r="M57" s="67">
        <f t="shared" si="123"/>
        <v>0</v>
      </c>
      <c r="N57" s="67">
        <f t="shared" si="123"/>
        <v>0</v>
      </c>
      <c r="O57" s="67">
        <f t="shared" si="123"/>
        <v>0</v>
      </c>
      <c r="P57" s="67">
        <f t="shared" si="123"/>
        <v>0</v>
      </c>
      <c r="Q57" s="67">
        <f t="shared" si="123"/>
        <v>41</v>
      </c>
      <c r="R57" s="444">
        <f t="shared" si="114"/>
        <v>0</v>
      </c>
      <c r="S57" s="470">
        <v>0</v>
      </c>
      <c r="T57" s="470">
        <v>0</v>
      </c>
      <c r="U57" s="470">
        <v>0</v>
      </c>
      <c r="V57" s="470">
        <v>0</v>
      </c>
      <c r="W57" s="470">
        <v>3.27</v>
      </c>
      <c r="X57" s="350"/>
      <c r="Y57" s="68">
        <f t="shared" ref="Y57:AC62" si="143">IF(AND(M57&lt;&gt;0,S57=0),#VALUE!,M57*S57)</f>
        <v>0</v>
      </c>
      <c r="Z57" s="68">
        <f t="shared" si="143"/>
        <v>0</v>
      </c>
      <c r="AA57" s="68">
        <f t="shared" si="143"/>
        <v>0</v>
      </c>
      <c r="AB57" s="68">
        <f t="shared" si="143"/>
        <v>0</v>
      </c>
      <c r="AC57" s="68">
        <f t="shared" si="143"/>
        <v>134.07</v>
      </c>
      <c r="AD57" s="350"/>
      <c r="AE57" s="67">
        <f t="shared" si="130"/>
        <v>0</v>
      </c>
      <c r="AF57" s="67">
        <f t="shared" si="130"/>
        <v>0</v>
      </c>
      <c r="AG57" s="67">
        <f t="shared" si="130"/>
        <v>0</v>
      </c>
      <c r="AH57" s="67">
        <f t="shared" si="130"/>
        <v>0</v>
      </c>
      <c r="AI57" s="67">
        <f t="shared" si="130"/>
        <v>41</v>
      </c>
      <c r="AJ57" s="350"/>
      <c r="AK57" s="449">
        <f t="shared" si="76"/>
        <v>0</v>
      </c>
      <c r="AL57" s="449">
        <f>ROUND(T57*(1+AL$1),2)</f>
        <v>0</v>
      </c>
      <c r="AM57" s="449">
        <f t="shared" si="77"/>
        <v>0</v>
      </c>
      <c r="AN57" s="449">
        <f t="shared" si="78"/>
        <v>0</v>
      </c>
      <c r="AO57" s="449">
        <f t="shared" si="79"/>
        <v>3.63</v>
      </c>
      <c r="AP57" s="350"/>
      <c r="AQ57" s="68">
        <f t="shared" si="125"/>
        <v>0</v>
      </c>
      <c r="AR57" s="68">
        <f t="shared" si="120"/>
        <v>0</v>
      </c>
      <c r="AS57" s="68">
        <f t="shared" si="126"/>
        <v>0</v>
      </c>
      <c r="AT57" s="68">
        <f t="shared" si="127"/>
        <v>0</v>
      </c>
      <c r="AU57" s="68">
        <f t="shared" si="128"/>
        <v>148.82999999999998</v>
      </c>
      <c r="AV57" s="68">
        <f>SUM(AR57)-SUM(Z57)</f>
        <v>0</v>
      </c>
      <c r="AW57" s="400" t="e">
        <f>AV57/Z57</f>
        <v>#DIV/0!</v>
      </c>
      <c r="AX57" s="392">
        <v>21</v>
      </c>
      <c r="AY57" s="446"/>
      <c r="AZ57" s="446"/>
      <c r="BA57" s="446"/>
      <c r="BB57" s="446"/>
      <c r="BC57" s="446">
        <v>3.01</v>
      </c>
      <c r="BD57" s="131"/>
      <c r="BE57" s="452">
        <f t="shared" ref="BE57:BE78" si="144">ROUND(AX57*$BE$2,2)+ROUND(AX57*$BE$1,2)</f>
        <v>3.999999999999998E-2</v>
      </c>
      <c r="BF57" s="52"/>
      <c r="BG57" s="52"/>
      <c r="BH57" s="52"/>
      <c r="BI57" s="52"/>
      <c r="BJ57" s="52">
        <f>ROUND((W57*$BF$2)+$BE57-BC57,2)</f>
        <v>0.35</v>
      </c>
      <c r="BK57" s="350"/>
      <c r="BL57" s="350"/>
      <c r="BM57" s="450">
        <f t="shared" si="17"/>
        <v>0</v>
      </c>
      <c r="BN57" s="450">
        <f t="shared" si="18"/>
        <v>0</v>
      </c>
      <c r="BO57" s="450">
        <f t="shared" si="19"/>
        <v>0</v>
      </c>
      <c r="BP57" s="450">
        <f t="shared" si="20"/>
        <v>0</v>
      </c>
      <c r="BQ57" s="450">
        <f t="shared" si="38"/>
        <v>3.6848129999999997</v>
      </c>
      <c r="BR57" s="350"/>
      <c r="BS57" s="52">
        <f t="shared" ref="BS57:BW57" si="145">BM57-AY57</f>
        <v>0</v>
      </c>
      <c r="BT57" s="52">
        <f t="shared" si="145"/>
        <v>0</v>
      </c>
      <c r="BU57" s="52">
        <f t="shared" si="145"/>
        <v>0</v>
      </c>
      <c r="BV57" s="52">
        <f t="shared" si="145"/>
        <v>0</v>
      </c>
      <c r="BW57" s="52">
        <f t="shared" si="145"/>
        <v>0.67481299999999989</v>
      </c>
    </row>
    <row r="58" spans="1:120">
      <c r="B58" s="714">
        <v>2</v>
      </c>
      <c r="C58" s="715" t="s">
        <v>97</v>
      </c>
      <c r="D58" s="714">
        <v>541</v>
      </c>
      <c r="E58" s="716">
        <v>2</v>
      </c>
      <c r="F58" s="717"/>
      <c r="G58" s="717" t="str">
        <f t="shared" si="107"/>
        <v>042541</v>
      </c>
      <c r="H58" s="271"/>
      <c r="I58" t="s">
        <v>110</v>
      </c>
      <c r="J58" t="s">
        <v>108</v>
      </c>
      <c r="K58" s="57">
        <v>10000</v>
      </c>
      <c r="L58" s="91">
        <v>515</v>
      </c>
      <c r="M58" s="67">
        <f t="shared" si="123"/>
        <v>0</v>
      </c>
      <c r="N58" s="67">
        <f t="shared" si="123"/>
        <v>0</v>
      </c>
      <c r="O58" s="67">
        <f t="shared" si="123"/>
        <v>0</v>
      </c>
      <c r="P58" s="67">
        <f t="shared" si="123"/>
        <v>1</v>
      </c>
      <c r="Q58" s="67">
        <f t="shared" si="123"/>
        <v>0</v>
      </c>
      <c r="R58" s="444">
        <f t="shared" si="114"/>
        <v>0</v>
      </c>
      <c r="S58" s="470">
        <v>0</v>
      </c>
      <c r="T58" s="470">
        <v>0</v>
      </c>
      <c r="U58" s="470">
        <v>0</v>
      </c>
      <c r="V58" s="470">
        <v>11.37</v>
      </c>
      <c r="W58" s="470">
        <v>0</v>
      </c>
      <c r="Y58" s="68">
        <f t="shared" si="143"/>
        <v>0</v>
      </c>
      <c r="Z58" s="68">
        <f t="shared" si="143"/>
        <v>0</v>
      </c>
      <c r="AA58" s="68">
        <f t="shared" si="143"/>
        <v>0</v>
      </c>
      <c r="AB58" s="68">
        <f t="shared" si="143"/>
        <v>11.37</v>
      </c>
      <c r="AC58" s="68">
        <f t="shared" si="143"/>
        <v>0</v>
      </c>
      <c r="AE58" s="67">
        <f t="shared" si="130"/>
        <v>0</v>
      </c>
      <c r="AF58" s="67">
        <f t="shared" si="130"/>
        <v>0</v>
      </c>
      <c r="AG58" s="67">
        <f t="shared" si="130"/>
        <v>0</v>
      </c>
      <c r="AH58" s="67">
        <f t="shared" si="130"/>
        <v>1</v>
      </c>
      <c r="AI58" s="67">
        <f t="shared" si="130"/>
        <v>0</v>
      </c>
      <c r="AK58" s="449">
        <f t="shared" si="76"/>
        <v>0</v>
      </c>
      <c r="AL58" s="449">
        <f>ROUND(T58*(1+AL$1),2)</f>
        <v>0</v>
      </c>
      <c r="AM58" s="449">
        <f t="shared" si="77"/>
        <v>0</v>
      </c>
      <c r="AN58" s="449">
        <f t="shared" si="78"/>
        <v>12.61</v>
      </c>
      <c r="AO58" s="449">
        <f t="shared" si="79"/>
        <v>0</v>
      </c>
      <c r="AQ58" s="68">
        <f t="shared" si="125"/>
        <v>0</v>
      </c>
      <c r="AR58" s="68">
        <f t="shared" si="120"/>
        <v>0</v>
      </c>
      <c r="AS58" s="68">
        <f t="shared" si="126"/>
        <v>0</v>
      </c>
      <c r="AT58" s="68">
        <f t="shared" si="127"/>
        <v>12.61</v>
      </c>
      <c r="AU58" s="68">
        <f t="shared" si="128"/>
        <v>0</v>
      </c>
      <c r="AV58" s="68">
        <f>SUM(AR58)-SUM(Z58)</f>
        <v>0</v>
      </c>
      <c r="AW58" s="400" t="e">
        <f>AV58/Z58</f>
        <v>#DIV/0!</v>
      </c>
      <c r="AX58" s="392">
        <v>111</v>
      </c>
      <c r="AY58" s="446"/>
      <c r="AZ58" s="446"/>
      <c r="BA58" s="446"/>
      <c r="BB58" s="446">
        <v>10.46</v>
      </c>
      <c r="BC58" s="446"/>
      <c r="BD58" s="131"/>
      <c r="BE58" s="452">
        <f t="shared" si="144"/>
        <v>0.25</v>
      </c>
      <c r="BF58" s="52"/>
      <c r="BG58" s="52"/>
      <c r="BH58" s="52"/>
      <c r="BI58" s="52">
        <f>ROUND((V58*$BF$2)+$BE58-BB58,2)</f>
        <v>1.33</v>
      </c>
      <c r="BJ58" s="52"/>
      <c r="BM58" s="450">
        <f t="shared" si="17"/>
        <v>0</v>
      </c>
      <c r="BN58" s="450">
        <f t="shared" si="18"/>
        <v>0</v>
      </c>
      <c r="BO58" s="450">
        <f t="shared" si="19"/>
        <v>0</v>
      </c>
      <c r="BP58" s="450">
        <f t="shared" si="20"/>
        <v>12.800410999999999</v>
      </c>
      <c r="BQ58" s="450">
        <f t="shared" si="38"/>
        <v>0</v>
      </c>
      <c r="BS58" s="52">
        <f t="shared" ref="BS58:BW60" si="146">BM58-AY58</f>
        <v>0</v>
      </c>
      <c r="BT58" s="52">
        <f t="shared" si="146"/>
        <v>0</v>
      </c>
      <c r="BU58" s="52">
        <f t="shared" si="146"/>
        <v>0</v>
      </c>
      <c r="BV58" s="52">
        <f t="shared" si="146"/>
        <v>2.3404109999999978</v>
      </c>
      <c r="BW58" s="52">
        <f t="shared" si="146"/>
        <v>0</v>
      </c>
    </row>
    <row r="59" spans="1:120">
      <c r="A59" s="486"/>
      <c r="B59" s="714">
        <v>2</v>
      </c>
      <c r="C59" s="715" t="s">
        <v>97</v>
      </c>
      <c r="D59" s="714" t="s">
        <v>512</v>
      </c>
      <c r="E59" s="716">
        <v>0</v>
      </c>
      <c r="F59" s="717"/>
      <c r="G59" s="717" t="str">
        <f t="shared" si="107"/>
        <v>042541L</v>
      </c>
      <c r="H59" s="271"/>
      <c r="I59" t="s">
        <v>105</v>
      </c>
      <c r="J59" s="509" t="s">
        <v>672</v>
      </c>
      <c r="K59" s="57" t="s">
        <v>119</v>
      </c>
      <c r="L59" s="91">
        <v>531</v>
      </c>
      <c r="M59" s="67">
        <f t="shared" si="123"/>
        <v>0</v>
      </c>
      <c r="N59" s="67">
        <f t="shared" si="123"/>
        <v>150</v>
      </c>
      <c r="O59" s="67">
        <f t="shared" si="123"/>
        <v>0</v>
      </c>
      <c r="P59" s="67">
        <f t="shared" si="123"/>
        <v>0</v>
      </c>
      <c r="Q59" s="67">
        <f t="shared" si="123"/>
        <v>0</v>
      </c>
      <c r="R59" s="444">
        <f t="shared" si="114"/>
        <v>0</v>
      </c>
      <c r="S59" s="470">
        <v>0</v>
      </c>
      <c r="T59" s="470">
        <v>22.63</v>
      </c>
      <c r="U59" s="470">
        <v>13.76</v>
      </c>
      <c r="V59" s="470">
        <v>0</v>
      </c>
      <c r="W59" s="470">
        <v>0</v>
      </c>
      <c r="Y59" s="68">
        <f t="shared" si="143"/>
        <v>0</v>
      </c>
      <c r="Z59" s="68">
        <f t="shared" si="143"/>
        <v>3394.5</v>
      </c>
      <c r="AA59" s="68">
        <f t="shared" si="143"/>
        <v>0</v>
      </c>
      <c r="AB59" s="68">
        <f t="shared" si="143"/>
        <v>0</v>
      </c>
      <c r="AC59" s="68">
        <f t="shared" si="143"/>
        <v>0</v>
      </c>
      <c r="AE59" s="67">
        <f>M59</f>
        <v>0</v>
      </c>
      <c r="AF59" s="67">
        <f t="shared" ref="AF59:AF74" si="147">N59</f>
        <v>150</v>
      </c>
      <c r="AG59" s="67">
        <f t="shared" ref="AG59:AG74" si="148">O59</f>
        <v>0</v>
      </c>
      <c r="AH59" s="67">
        <f t="shared" ref="AH59:AH74" si="149">P59</f>
        <v>0</v>
      </c>
      <c r="AI59" s="67">
        <f t="shared" ref="AI59:AI74" si="150">Q59</f>
        <v>0</v>
      </c>
      <c r="AK59" s="449">
        <f t="shared" si="76"/>
        <v>0</v>
      </c>
      <c r="AL59" s="449">
        <f>ROUND(T59*(1+AL$1),2)</f>
        <v>24.95</v>
      </c>
      <c r="AM59" s="449">
        <f t="shared" si="77"/>
        <v>15.26</v>
      </c>
      <c r="AN59" s="449">
        <f t="shared" si="78"/>
        <v>0</v>
      </c>
      <c r="AO59" s="449">
        <f t="shared" si="79"/>
        <v>0</v>
      </c>
      <c r="AQ59" s="68">
        <f t="shared" si="125"/>
        <v>0</v>
      </c>
      <c r="AR59" s="68">
        <f t="shared" si="120"/>
        <v>3742.5</v>
      </c>
      <c r="AS59" s="68">
        <f t="shared" si="126"/>
        <v>0</v>
      </c>
      <c r="AT59" s="68">
        <f t="shared" si="127"/>
        <v>0</v>
      </c>
      <c r="AU59" s="68">
        <f t="shared" si="128"/>
        <v>0</v>
      </c>
      <c r="AV59" s="68">
        <f>SUM(AR59)-SUM(Z59)</f>
        <v>348</v>
      </c>
      <c r="AW59" s="400">
        <f>AV59/Z59</f>
        <v>0.10251878038002651</v>
      </c>
      <c r="AX59" s="392">
        <v>85</v>
      </c>
      <c r="AY59" s="446"/>
      <c r="AZ59" s="446"/>
      <c r="BA59" s="446">
        <v>12.66</v>
      </c>
      <c r="BB59" s="446"/>
      <c r="BC59" s="446"/>
      <c r="BD59" s="131"/>
      <c r="BE59" s="452">
        <f t="shared" si="144"/>
        <v>0.17999999999999994</v>
      </c>
      <c r="BF59" s="52"/>
      <c r="BG59" s="52"/>
      <c r="BH59" s="52">
        <f>ROUND((U59*$BF$2)+$BE59-BA59,2)</f>
        <v>1.49</v>
      </c>
      <c r="BI59" s="52"/>
      <c r="BJ59" s="52"/>
      <c r="BM59" s="450">
        <f t="shared" si="17"/>
        <v>0</v>
      </c>
      <c r="BN59" s="450">
        <f t="shared" si="18"/>
        <v>25.326744999999995</v>
      </c>
      <c r="BO59" s="450">
        <f t="shared" si="19"/>
        <v>15.490425999999998</v>
      </c>
      <c r="BP59" s="450">
        <f t="shared" si="20"/>
        <v>0</v>
      </c>
      <c r="BQ59" s="450">
        <f t="shared" si="38"/>
        <v>0</v>
      </c>
      <c r="BS59" s="52">
        <f t="shared" si="146"/>
        <v>0</v>
      </c>
      <c r="BT59" s="52">
        <f t="shared" si="146"/>
        <v>25.326744999999995</v>
      </c>
      <c r="BU59" s="52">
        <f t="shared" si="146"/>
        <v>2.8304259999999974</v>
      </c>
      <c r="BV59" s="52">
        <f t="shared" si="146"/>
        <v>0</v>
      </c>
      <c r="BW59" s="52">
        <f t="shared" si="146"/>
        <v>0</v>
      </c>
      <c r="CU59" s="508"/>
      <c r="CV59" s="508"/>
      <c r="CW59" s="508"/>
      <c r="CX59" s="508"/>
      <c r="CY59" s="508"/>
      <c r="CZ59" s="508"/>
      <c r="DA59" s="508"/>
      <c r="DB59" s="508"/>
    </row>
    <row r="60" spans="1:120">
      <c r="A60" s="485"/>
      <c r="B60" s="714">
        <v>2</v>
      </c>
      <c r="C60" s="715" t="s">
        <v>97</v>
      </c>
      <c r="D60" s="714" t="s">
        <v>608</v>
      </c>
      <c r="E60" s="716">
        <v>0</v>
      </c>
      <c r="F60" s="717"/>
      <c r="G60" s="717" t="str">
        <f t="shared" si="107"/>
        <v>042541T</v>
      </c>
      <c r="H60" s="271"/>
      <c r="I60" s="380" t="s">
        <v>605</v>
      </c>
      <c r="J60" s="622" t="s">
        <v>672</v>
      </c>
      <c r="K60" s="443" t="s">
        <v>516</v>
      </c>
      <c r="L60" s="445" t="s">
        <v>507</v>
      </c>
      <c r="M60" s="444">
        <f t="shared" si="123"/>
        <v>0</v>
      </c>
      <c r="N60" s="444">
        <f t="shared" si="123"/>
        <v>1362</v>
      </c>
      <c r="O60" s="444">
        <f t="shared" si="123"/>
        <v>0</v>
      </c>
      <c r="P60" s="444">
        <f t="shared" si="123"/>
        <v>0</v>
      </c>
      <c r="Q60" s="444">
        <f t="shared" si="123"/>
        <v>0</v>
      </c>
      <c r="R60" s="444">
        <f t="shared" ref="R60:R61" si="151">IF(SUM(M60:Q60)&gt;0,0,1)</f>
        <v>0</v>
      </c>
      <c r="S60" s="470">
        <v>0</v>
      </c>
      <c r="T60" s="487">
        <v>22.63</v>
      </c>
      <c r="U60" s="470">
        <v>0</v>
      </c>
      <c r="V60" s="470">
        <v>0</v>
      </c>
      <c r="W60" s="470">
        <v>0</v>
      </c>
      <c r="X60" s="622"/>
      <c r="Y60" s="68">
        <f t="shared" si="143"/>
        <v>0</v>
      </c>
      <c r="Z60" s="68">
        <f t="shared" si="143"/>
        <v>30822.059999999998</v>
      </c>
      <c r="AA60" s="68">
        <f t="shared" si="143"/>
        <v>0</v>
      </c>
      <c r="AB60" s="68">
        <f t="shared" si="143"/>
        <v>0</v>
      </c>
      <c r="AC60" s="68">
        <f t="shared" si="143"/>
        <v>0</v>
      </c>
      <c r="AD60" s="622"/>
      <c r="AE60" s="444">
        <f>SUMIF($G:$G,TEXT(AE$3,"000")&amp;TEXT($L60,"000"),$E:$E)</f>
        <v>0</v>
      </c>
      <c r="AF60" s="444">
        <f>SUMIF($G:$G,TEXT(AF$3,"000")&amp;TEXT($L60,"000"),$E:$E)</f>
        <v>1362</v>
      </c>
      <c r="AG60" s="444">
        <f>SUMIF($G:$G,TEXT(AG$3,"000")&amp;TEXT($L60,"000"),$E:$E)</f>
        <v>0</v>
      </c>
      <c r="AH60" s="444">
        <f>SUMIF($G:$G,TEXT(AH$3,"000")&amp;TEXT($L60,"000"),$E:$E)</f>
        <v>0</v>
      </c>
      <c r="AI60" s="444">
        <f>SUMIF($G:$G,TEXT(AI$3,"000")&amp;TEXT($L60,"000"),$E:$E)</f>
        <v>0</v>
      </c>
      <c r="AJ60" s="622"/>
      <c r="AK60" s="449">
        <f t="shared" si="76"/>
        <v>0</v>
      </c>
      <c r="AL60" s="449">
        <f>AL59</f>
        <v>24.95</v>
      </c>
      <c r="AM60" s="449">
        <f t="shared" si="77"/>
        <v>0</v>
      </c>
      <c r="AN60" s="449">
        <f t="shared" si="78"/>
        <v>0</v>
      </c>
      <c r="AO60" s="449">
        <f t="shared" si="79"/>
        <v>0</v>
      </c>
      <c r="AP60" s="622"/>
      <c r="AQ60" s="68">
        <f t="shared" si="125"/>
        <v>0</v>
      </c>
      <c r="AR60" s="68">
        <f t="shared" si="120"/>
        <v>33981.9</v>
      </c>
      <c r="AS60" s="68">
        <f t="shared" si="126"/>
        <v>0</v>
      </c>
      <c r="AT60" s="68">
        <f t="shared" si="127"/>
        <v>0</v>
      </c>
      <c r="AU60" s="68">
        <f t="shared" si="128"/>
        <v>0</v>
      </c>
      <c r="AV60" s="622"/>
      <c r="AW60" s="622"/>
      <c r="AX60" s="454">
        <v>39</v>
      </c>
      <c r="AY60" s="446"/>
      <c r="AZ60" s="446"/>
      <c r="BA60" s="446"/>
      <c r="BB60" s="446"/>
      <c r="BC60" s="446"/>
      <c r="BD60" s="446"/>
      <c r="BE60" s="452">
        <f t="shared" si="144"/>
        <v>8.0000000000000016E-2</v>
      </c>
      <c r="BF60" s="442"/>
      <c r="BG60" s="442">
        <f t="shared" ref="BG60:BG79" si="152">ROUND((T60*$BF$2)+$BE60-AZ60,2)</f>
        <v>23.05</v>
      </c>
      <c r="BH60" s="442"/>
      <c r="BI60" s="442"/>
      <c r="BJ60" s="442"/>
      <c r="BK60" s="622"/>
      <c r="BL60" s="622"/>
      <c r="BM60" s="450">
        <f t="shared" si="17"/>
        <v>0</v>
      </c>
      <c r="BN60" s="450">
        <f t="shared" si="18"/>
        <v>25.326744999999995</v>
      </c>
      <c r="BO60" s="450">
        <f t="shared" si="19"/>
        <v>0</v>
      </c>
      <c r="BP60" s="450">
        <f t="shared" si="20"/>
        <v>0</v>
      </c>
      <c r="BQ60" s="450">
        <f t="shared" si="38"/>
        <v>0</v>
      </c>
      <c r="BR60" s="622"/>
      <c r="BS60" s="442">
        <f t="shared" si="146"/>
        <v>0</v>
      </c>
      <c r="BT60" s="442">
        <f t="shared" si="146"/>
        <v>25.326744999999995</v>
      </c>
      <c r="BU60" s="442">
        <f t="shared" si="146"/>
        <v>0</v>
      </c>
      <c r="BV60" s="442">
        <f t="shared" si="146"/>
        <v>0</v>
      </c>
      <c r="BW60" s="442">
        <f t="shared" si="146"/>
        <v>0</v>
      </c>
      <c r="CU60" s="508"/>
      <c r="CV60" s="508"/>
      <c r="CW60" s="508"/>
      <c r="CX60" s="508"/>
      <c r="CY60" s="508"/>
      <c r="CZ60" s="508"/>
      <c r="DA60" s="508"/>
      <c r="DB60" s="508"/>
    </row>
    <row r="61" spans="1:120" s="622" customFormat="1">
      <c r="A61" s="486"/>
      <c r="B61" s="714">
        <v>2</v>
      </c>
      <c r="C61" s="715" t="s">
        <v>97</v>
      </c>
      <c r="D61" s="714" t="s">
        <v>513</v>
      </c>
      <c r="E61" s="716">
        <v>15</v>
      </c>
      <c r="F61" s="717"/>
      <c r="G61" s="717" t="str">
        <f t="shared" si="107"/>
        <v>042542L</v>
      </c>
      <c r="H61" s="271"/>
      <c r="I61" s="622" t="s">
        <v>605</v>
      </c>
      <c r="J61" s="622" t="s">
        <v>672</v>
      </c>
      <c r="K61" s="443" t="s">
        <v>516</v>
      </c>
      <c r="L61" s="445" t="s">
        <v>602</v>
      </c>
      <c r="M61" s="444">
        <f t="shared" si="123"/>
        <v>0</v>
      </c>
      <c r="N61" s="444">
        <f t="shared" si="123"/>
        <v>469</v>
      </c>
      <c r="O61" s="444">
        <f t="shared" si="123"/>
        <v>0</v>
      </c>
      <c r="P61" s="444">
        <f t="shared" si="123"/>
        <v>0</v>
      </c>
      <c r="Q61" s="444">
        <f t="shared" si="123"/>
        <v>0</v>
      </c>
      <c r="R61" s="444">
        <f t="shared" si="151"/>
        <v>0</v>
      </c>
      <c r="S61" s="470">
        <v>0</v>
      </c>
      <c r="T61" s="487">
        <v>17.419999999999998</v>
      </c>
      <c r="U61" s="470">
        <v>0</v>
      </c>
      <c r="V61" s="470">
        <v>0</v>
      </c>
      <c r="W61" s="470">
        <v>0</v>
      </c>
      <c r="Y61" s="68">
        <f t="shared" si="143"/>
        <v>0</v>
      </c>
      <c r="Z61" s="68">
        <f t="shared" si="143"/>
        <v>8169.98</v>
      </c>
      <c r="AA61" s="68">
        <f t="shared" si="143"/>
        <v>0</v>
      </c>
      <c r="AB61" s="68">
        <f t="shared" si="143"/>
        <v>0</v>
      </c>
      <c r="AC61" s="68">
        <f t="shared" si="143"/>
        <v>0</v>
      </c>
      <c r="AE61" s="444">
        <f t="shared" ref="AE61" si="153">M61</f>
        <v>0</v>
      </c>
      <c r="AF61" s="444">
        <f t="shared" ref="AF61" si="154">N61</f>
        <v>469</v>
      </c>
      <c r="AG61" s="444">
        <f t="shared" ref="AG61" si="155">O61</f>
        <v>0</v>
      </c>
      <c r="AH61" s="444">
        <f t="shared" ref="AH61" si="156">P61</f>
        <v>0</v>
      </c>
      <c r="AI61" s="444">
        <f t="shared" ref="AI61" si="157">Q61</f>
        <v>0</v>
      </c>
      <c r="AK61" s="449">
        <f t="shared" si="76"/>
        <v>0</v>
      </c>
      <c r="AL61" s="449">
        <f>AL59-AL103</f>
        <v>19.739999999999998</v>
      </c>
      <c r="AM61" s="449">
        <f t="shared" si="77"/>
        <v>0</v>
      </c>
      <c r="AN61" s="449">
        <f t="shared" si="78"/>
        <v>0</v>
      </c>
      <c r="AO61" s="449">
        <f t="shared" si="79"/>
        <v>0</v>
      </c>
      <c r="AQ61" s="68">
        <f t="shared" si="125"/>
        <v>0</v>
      </c>
      <c r="AR61" s="68">
        <f t="shared" si="120"/>
        <v>9258.06</v>
      </c>
      <c r="AS61" s="68">
        <f t="shared" si="126"/>
        <v>0</v>
      </c>
      <c r="AT61" s="68">
        <f t="shared" si="127"/>
        <v>0</v>
      </c>
      <c r="AU61" s="68">
        <f t="shared" si="128"/>
        <v>0</v>
      </c>
      <c r="AV61" s="68">
        <f>SUM(AQ61:AU61)-SUM(Y61:AC61)</f>
        <v>1088.08</v>
      </c>
      <c r="AW61" s="68"/>
      <c r="AX61" s="454">
        <v>39</v>
      </c>
      <c r="AY61" s="446"/>
      <c r="AZ61" s="446"/>
      <c r="BA61" s="446"/>
      <c r="BB61" s="446"/>
      <c r="BC61" s="446"/>
      <c r="BD61" s="446"/>
      <c r="BE61" s="452">
        <f t="shared" si="144"/>
        <v>8.0000000000000016E-2</v>
      </c>
      <c r="BF61" s="442"/>
      <c r="BG61" s="442">
        <f t="shared" si="152"/>
        <v>17.760000000000002</v>
      </c>
      <c r="BH61" s="442"/>
      <c r="BI61" s="442"/>
      <c r="BJ61" s="442"/>
      <c r="BM61" s="450">
        <f t="shared" si="17"/>
        <v>0</v>
      </c>
      <c r="BN61" s="450">
        <f t="shared" si="18"/>
        <v>20.038073999999995</v>
      </c>
      <c r="BO61" s="450">
        <f t="shared" si="19"/>
        <v>0</v>
      </c>
      <c r="BP61" s="450">
        <f t="shared" si="20"/>
        <v>0</v>
      </c>
      <c r="BQ61" s="450">
        <f t="shared" si="38"/>
        <v>0</v>
      </c>
      <c r="BS61" s="442">
        <f t="shared" ref="BS61:BS104" si="158">BM61-AY61</f>
        <v>0</v>
      </c>
      <c r="BT61" s="442">
        <f t="shared" ref="BT61:BW62" si="159">BN61-AZ61</f>
        <v>20.038073999999995</v>
      </c>
      <c r="BU61" s="442">
        <f t="shared" si="159"/>
        <v>0</v>
      </c>
      <c r="BV61" s="442">
        <f t="shared" si="159"/>
        <v>0</v>
      </c>
      <c r="BW61" s="442">
        <f t="shared" si="159"/>
        <v>0</v>
      </c>
    </row>
    <row r="62" spans="1:120" s="622" customFormat="1">
      <c r="A62" s="467"/>
      <c r="B62" s="714">
        <v>2</v>
      </c>
      <c r="C62" s="715" t="s">
        <v>97</v>
      </c>
      <c r="D62" s="714" t="s">
        <v>610</v>
      </c>
      <c r="E62" s="716">
        <v>8</v>
      </c>
      <c r="F62" s="717"/>
      <c r="G62" s="717" t="str">
        <f t="shared" si="107"/>
        <v>042542T</v>
      </c>
      <c r="H62" s="271"/>
      <c r="I62" t="s">
        <v>105</v>
      </c>
      <c r="J62" t="s">
        <v>86</v>
      </c>
      <c r="K62" s="57" t="s">
        <v>119</v>
      </c>
      <c r="L62" s="91">
        <v>532</v>
      </c>
      <c r="M62" s="67">
        <f t="shared" si="123"/>
        <v>0</v>
      </c>
      <c r="N62" s="67">
        <f t="shared" si="123"/>
        <v>92</v>
      </c>
      <c r="O62" s="67">
        <f t="shared" si="123"/>
        <v>89</v>
      </c>
      <c r="P62" s="67">
        <f t="shared" si="123"/>
        <v>0</v>
      </c>
      <c r="Q62" s="67">
        <f t="shared" si="123"/>
        <v>0</v>
      </c>
      <c r="R62" s="444">
        <f t="shared" si="114"/>
        <v>0</v>
      </c>
      <c r="S62" s="470">
        <v>0</v>
      </c>
      <c r="T62" s="470">
        <v>40.69</v>
      </c>
      <c r="U62" s="470">
        <v>13.76</v>
      </c>
      <c r="V62" s="470">
        <v>0</v>
      </c>
      <c r="W62" s="470">
        <v>0</v>
      </c>
      <c r="X62"/>
      <c r="Y62" s="68">
        <f t="shared" si="143"/>
        <v>0</v>
      </c>
      <c r="Z62" s="68">
        <f t="shared" si="143"/>
        <v>3743.4799999999996</v>
      </c>
      <c r="AA62" s="68">
        <f t="shared" si="143"/>
        <v>1224.6399999999999</v>
      </c>
      <c r="AB62" s="68">
        <f t="shared" si="143"/>
        <v>0</v>
      </c>
      <c r="AC62" s="68">
        <f t="shared" si="143"/>
        <v>0</v>
      </c>
      <c r="AD62"/>
      <c r="AE62" s="67">
        <f>M62</f>
        <v>0</v>
      </c>
      <c r="AF62" s="67">
        <f t="shared" si="147"/>
        <v>92</v>
      </c>
      <c r="AG62" s="67">
        <f t="shared" si="148"/>
        <v>89</v>
      </c>
      <c r="AH62" s="67">
        <f t="shared" si="149"/>
        <v>0</v>
      </c>
      <c r="AI62" s="67">
        <f t="shared" si="150"/>
        <v>0</v>
      </c>
      <c r="AJ62"/>
      <c r="AK62" s="449">
        <f t="shared" si="76"/>
        <v>0</v>
      </c>
      <c r="AL62" s="449">
        <f>ROUND(T62*(1+AL$1),2)</f>
        <v>44.86</v>
      </c>
      <c r="AM62" s="449">
        <f t="shared" si="77"/>
        <v>15.26</v>
      </c>
      <c r="AN62" s="449">
        <f t="shared" si="78"/>
        <v>0</v>
      </c>
      <c r="AO62" s="449">
        <f t="shared" si="79"/>
        <v>0</v>
      </c>
      <c r="AP62"/>
      <c r="AQ62" s="68">
        <f t="shared" si="125"/>
        <v>0</v>
      </c>
      <c r="AR62" s="68">
        <f t="shared" si="120"/>
        <v>4127.12</v>
      </c>
      <c r="AS62" s="68">
        <f t="shared" si="126"/>
        <v>1358.1399999999999</v>
      </c>
      <c r="AT62" s="68">
        <f t="shared" si="127"/>
        <v>0</v>
      </c>
      <c r="AU62" s="68">
        <f t="shared" si="128"/>
        <v>0</v>
      </c>
      <c r="AV62" s="68">
        <f t="shared" ref="AV62:AV78" si="160">SUM(AR62)-SUM(Z62)</f>
        <v>383.64000000000033</v>
      </c>
      <c r="AW62" s="400">
        <f t="shared" ref="AW62:AW78" si="161">AV62/Z62</f>
        <v>0.10248218235438693</v>
      </c>
      <c r="AX62" s="392">
        <v>85</v>
      </c>
      <c r="AY62" s="446"/>
      <c r="AZ62" s="446">
        <v>37.903833999999996</v>
      </c>
      <c r="BA62" s="446">
        <v>12.66</v>
      </c>
      <c r="BB62" s="446"/>
      <c r="BC62" s="446"/>
      <c r="BD62" s="131"/>
      <c r="BE62" s="452">
        <f t="shared" si="144"/>
        <v>0.17999999999999994</v>
      </c>
      <c r="BF62" s="52"/>
      <c r="BG62" s="52">
        <f t="shared" si="152"/>
        <v>3.58</v>
      </c>
      <c r="BH62" s="52">
        <f>ROUND((U62*$BF$2)+$BE62-BA62,2)</f>
        <v>1.49</v>
      </c>
      <c r="BI62" s="52"/>
      <c r="BJ62" s="52"/>
      <c r="BK62"/>
      <c r="BL62"/>
      <c r="BM62" s="450">
        <f t="shared" si="17"/>
        <v>0</v>
      </c>
      <c r="BN62" s="450">
        <f t="shared" si="18"/>
        <v>45.537385999999998</v>
      </c>
      <c r="BO62" s="450">
        <f t="shared" si="19"/>
        <v>15.490425999999998</v>
      </c>
      <c r="BP62" s="450">
        <f t="shared" si="20"/>
        <v>0</v>
      </c>
      <c r="BQ62" s="450">
        <f t="shared" si="38"/>
        <v>0</v>
      </c>
      <c r="BR62"/>
      <c r="BS62" s="442">
        <f t="shared" si="158"/>
        <v>0</v>
      </c>
      <c r="BT62" s="52">
        <f t="shared" si="159"/>
        <v>7.6335520000000017</v>
      </c>
      <c r="BU62" s="52">
        <f t="shared" si="159"/>
        <v>2.8304259999999974</v>
      </c>
      <c r="BV62" s="52">
        <f t="shared" si="159"/>
        <v>0</v>
      </c>
      <c r="BW62" s="52">
        <f t="shared" si="159"/>
        <v>0</v>
      </c>
    </row>
    <row r="63" spans="1:120">
      <c r="A63" s="486"/>
      <c r="B63" s="714">
        <v>2</v>
      </c>
      <c r="C63" s="715" t="s">
        <v>97</v>
      </c>
      <c r="D63" s="714" t="s">
        <v>618</v>
      </c>
      <c r="E63" s="716">
        <v>8</v>
      </c>
      <c r="F63" s="717"/>
      <c r="G63" s="717" t="str">
        <f t="shared" si="107"/>
        <v>042546T</v>
      </c>
      <c r="H63" s="271"/>
      <c r="I63" s="380" t="s">
        <v>605</v>
      </c>
      <c r="J63" s="441" t="s">
        <v>86</v>
      </c>
      <c r="K63" s="443" t="s">
        <v>516</v>
      </c>
      <c r="L63" s="445" t="s">
        <v>508</v>
      </c>
      <c r="M63" s="444">
        <f t="shared" si="123"/>
        <v>0</v>
      </c>
      <c r="N63" s="444">
        <f t="shared" si="123"/>
        <v>714</v>
      </c>
      <c r="O63" s="444">
        <f t="shared" si="123"/>
        <v>0</v>
      </c>
      <c r="P63" s="444">
        <f t="shared" si="123"/>
        <v>0</v>
      </c>
      <c r="Q63" s="444">
        <f t="shared" si="123"/>
        <v>0</v>
      </c>
      <c r="R63" s="444">
        <f t="shared" si="114"/>
        <v>0</v>
      </c>
      <c r="S63" s="470">
        <v>0</v>
      </c>
      <c r="T63" s="487">
        <v>40.69</v>
      </c>
      <c r="U63" s="470">
        <v>0</v>
      </c>
      <c r="V63" s="470">
        <v>0</v>
      </c>
      <c r="W63" s="470">
        <v>0</v>
      </c>
      <c r="X63" s="441"/>
      <c r="Y63" s="68">
        <f t="shared" ref="Y63:AC64" si="162">IF(AND(M63&lt;&gt;0,S63=0),#VALUE!,M63*S63)</f>
        <v>0</v>
      </c>
      <c r="Z63" s="68">
        <f t="shared" si="162"/>
        <v>29052.66</v>
      </c>
      <c r="AA63" s="68">
        <f t="shared" si="162"/>
        <v>0</v>
      </c>
      <c r="AB63" s="68">
        <f t="shared" si="162"/>
        <v>0</v>
      </c>
      <c r="AC63" s="68">
        <f t="shared" si="162"/>
        <v>0</v>
      </c>
      <c r="AD63" s="441"/>
      <c r="AE63" s="444">
        <f>SUMIF($G:$G,TEXT(AE$3,"000")&amp;TEXT($L63,"000"),$E:$E)</f>
        <v>0</v>
      </c>
      <c r="AF63" s="444">
        <f>SUMIF($G:$G,TEXT(AF$3,"000")&amp;TEXT($L63,"000"),$E:$E)</f>
        <v>714</v>
      </c>
      <c r="AG63" s="444">
        <f>SUMIF($G:$G,TEXT(AG$3,"000")&amp;TEXT($L63,"000"),$E:$E)</f>
        <v>0</v>
      </c>
      <c r="AH63" s="444">
        <f>SUMIF($G:$G,TEXT(AH$3,"000")&amp;TEXT($L63,"000"),$E:$E)</f>
        <v>0</v>
      </c>
      <c r="AI63" s="444">
        <f>SUMIF($G:$G,TEXT(AI$3,"000")&amp;TEXT($L63,"000"),$E:$E)</f>
        <v>0</v>
      </c>
      <c r="AJ63" s="441"/>
      <c r="AK63" s="449">
        <f t="shared" ref="AK63:AK94" si="163">ROUND(S63*(1+AK$1),2)</f>
        <v>0</v>
      </c>
      <c r="AL63" s="449">
        <f>AL62</f>
        <v>44.86</v>
      </c>
      <c r="AM63" s="449">
        <f t="shared" ref="AM63:AM84" si="164">ROUND(U63*(1+AM$1),2)</f>
        <v>0</v>
      </c>
      <c r="AN63" s="449">
        <f t="shared" ref="AN63:AN84" si="165">ROUND(V63*(1+AN$1),2)</f>
        <v>0</v>
      </c>
      <c r="AO63" s="449">
        <f t="shared" ref="AO63:AO84" si="166">ROUND(W63*(1+AO$1),2)</f>
        <v>0</v>
      </c>
      <c r="AP63" s="441"/>
      <c r="AQ63" s="68">
        <f t="shared" si="125"/>
        <v>0</v>
      </c>
      <c r="AR63" s="68">
        <f t="shared" si="120"/>
        <v>32030.04</v>
      </c>
      <c r="AS63" s="68">
        <f t="shared" si="126"/>
        <v>0</v>
      </c>
      <c r="AT63" s="68">
        <f t="shared" si="127"/>
        <v>0</v>
      </c>
      <c r="AU63" s="68">
        <f t="shared" si="128"/>
        <v>0</v>
      </c>
      <c r="AV63" s="68">
        <f t="shared" si="160"/>
        <v>2977.380000000001</v>
      </c>
      <c r="AW63" s="400">
        <f t="shared" si="161"/>
        <v>0.10248218235438686</v>
      </c>
      <c r="AX63" s="454">
        <v>39</v>
      </c>
      <c r="AY63" s="446"/>
      <c r="AZ63" s="446">
        <v>37.903833999999996</v>
      </c>
      <c r="BA63" s="446"/>
      <c r="BB63" s="446"/>
      <c r="BC63" s="446"/>
      <c r="BD63" s="446"/>
      <c r="BE63" s="452">
        <f t="shared" si="144"/>
        <v>8.0000000000000016E-2</v>
      </c>
      <c r="BF63" s="442"/>
      <c r="BG63" s="442">
        <f t="shared" si="152"/>
        <v>3.48</v>
      </c>
      <c r="BH63" s="442"/>
      <c r="BI63" s="442"/>
      <c r="BJ63" s="442"/>
      <c r="BK63" s="441"/>
      <c r="BL63" s="441"/>
      <c r="BM63" s="450">
        <f t="shared" si="17"/>
        <v>0</v>
      </c>
      <c r="BN63" s="450">
        <f t="shared" si="18"/>
        <v>45.537385999999998</v>
      </c>
      <c r="BO63" s="450">
        <f t="shared" si="19"/>
        <v>0</v>
      </c>
      <c r="BP63" s="450">
        <f t="shared" si="20"/>
        <v>0</v>
      </c>
      <c r="BQ63" s="450">
        <f t="shared" si="38"/>
        <v>0</v>
      </c>
      <c r="BR63" s="441"/>
      <c r="BS63" s="442">
        <f t="shared" si="158"/>
        <v>0</v>
      </c>
      <c r="BT63" s="442">
        <f t="shared" ref="BT63:BW64" si="167">BN63-AZ63</f>
        <v>7.6335520000000017</v>
      </c>
      <c r="BU63" s="442">
        <f t="shared" si="167"/>
        <v>0</v>
      </c>
      <c r="BV63" s="442">
        <f t="shared" si="167"/>
        <v>0</v>
      </c>
      <c r="BW63" s="442">
        <f t="shared" si="167"/>
        <v>0</v>
      </c>
      <c r="DC63" s="508"/>
      <c r="DD63" s="508"/>
      <c r="DE63" s="508"/>
      <c r="DF63" s="508"/>
      <c r="DG63" s="508"/>
      <c r="DH63" s="508"/>
      <c r="DI63" s="508"/>
      <c r="DJ63" s="508"/>
      <c r="DK63" s="508"/>
      <c r="DL63" s="508"/>
      <c r="DM63" s="508"/>
      <c r="DN63" s="508"/>
      <c r="DO63" s="508"/>
      <c r="DP63" s="508"/>
    </row>
    <row r="64" spans="1:120">
      <c r="A64" s="622"/>
      <c r="B64" s="714">
        <v>2</v>
      </c>
      <c r="C64" s="715" t="s">
        <v>97</v>
      </c>
      <c r="D64" s="500" t="s">
        <v>675</v>
      </c>
      <c r="E64" s="716">
        <v>6</v>
      </c>
      <c r="F64" s="717"/>
      <c r="G64" s="717" t="str">
        <f t="shared" ref="G64" si="168">IF(OR(ISBLANK(C64),ISBLANK(D64)),"",TEXT(C64,"000")&amp;TEXT(D64,"000"))</f>
        <v>042594L</v>
      </c>
      <c r="H64" s="271"/>
      <c r="I64" s="485" t="s">
        <v>605</v>
      </c>
      <c r="J64" s="485" t="s">
        <v>86</v>
      </c>
      <c r="K64" s="443" t="s">
        <v>516</v>
      </c>
      <c r="L64" s="445" t="s">
        <v>603</v>
      </c>
      <c r="M64" s="444">
        <f t="shared" ref="M64:Q73" si="169">SUMIF($G:$G,TEXT(M$3,"000")&amp;TEXT($L64,"000"),$E:$E)</f>
        <v>0</v>
      </c>
      <c r="N64" s="444">
        <f t="shared" si="169"/>
        <v>150</v>
      </c>
      <c r="O64" s="444">
        <f t="shared" si="169"/>
        <v>0</v>
      </c>
      <c r="P64" s="444">
        <f t="shared" si="169"/>
        <v>0</v>
      </c>
      <c r="Q64" s="444">
        <f t="shared" si="169"/>
        <v>0</v>
      </c>
      <c r="R64" s="444">
        <f t="shared" si="114"/>
        <v>0</v>
      </c>
      <c r="S64" s="470">
        <v>0</v>
      </c>
      <c r="T64" s="487">
        <v>35.479999999999997</v>
      </c>
      <c r="U64" s="470">
        <v>0</v>
      </c>
      <c r="V64" s="470">
        <v>0</v>
      </c>
      <c r="W64" s="470">
        <v>0</v>
      </c>
      <c r="X64" s="485"/>
      <c r="Y64" s="68">
        <f t="shared" si="162"/>
        <v>0</v>
      </c>
      <c r="Z64" s="68">
        <f t="shared" si="162"/>
        <v>5321.9999999999991</v>
      </c>
      <c r="AA64" s="68">
        <f t="shared" si="162"/>
        <v>0</v>
      </c>
      <c r="AB64" s="68">
        <f t="shared" si="162"/>
        <v>0</v>
      </c>
      <c r="AC64" s="68">
        <f t="shared" si="162"/>
        <v>0</v>
      </c>
      <c r="AD64" s="485"/>
      <c r="AE64" s="444">
        <f>M64</f>
        <v>0</v>
      </c>
      <c r="AF64" s="444">
        <f>N64</f>
        <v>150</v>
      </c>
      <c r="AG64" s="444">
        <f>O64</f>
        <v>0</v>
      </c>
      <c r="AH64" s="444">
        <f>P64</f>
        <v>0</v>
      </c>
      <c r="AI64" s="444">
        <f>Q64</f>
        <v>0</v>
      </c>
      <c r="AJ64" s="485"/>
      <c r="AK64" s="449">
        <f t="shared" si="163"/>
        <v>0</v>
      </c>
      <c r="AL64" s="449">
        <f>AL63-AL103</f>
        <v>39.65</v>
      </c>
      <c r="AM64" s="449">
        <f t="shared" si="164"/>
        <v>0</v>
      </c>
      <c r="AN64" s="449">
        <f t="shared" si="165"/>
        <v>0</v>
      </c>
      <c r="AO64" s="449">
        <f t="shared" si="166"/>
        <v>0</v>
      </c>
      <c r="AP64" s="485"/>
      <c r="AQ64" s="68">
        <f t="shared" si="125"/>
        <v>0</v>
      </c>
      <c r="AR64" s="68">
        <f t="shared" si="120"/>
        <v>5947.5</v>
      </c>
      <c r="AS64" s="68">
        <f t="shared" si="126"/>
        <v>0</v>
      </c>
      <c r="AT64" s="68">
        <f t="shared" si="127"/>
        <v>0</v>
      </c>
      <c r="AU64" s="68">
        <f t="shared" si="128"/>
        <v>0</v>
      </c>
      <c r="AV64" s="68">
        <f t="shared" si="160"/>
        <v>625.50000000000091</v>
      </c>
      <c r="AW64" s="400">
        <f t="shared" si="161"/>
        <v>0.11753100338218733</v>
      </c>
      <c r="AX64" s="454">
        <v>39</v>
      </c>
      <c r="AY64" s="446"/>
      <c r="AZ64" s="446">
        <v>32.290331000000002</v>
      </c>
      <c r="BA64" s="446"/>
      <c r="BB64" s="446"/>
      <c r="BC64" s="446"/>
      <c r="BD64" s="446"/>
      <c r="BE64" s="452">
        <f t="shared" si="144"/>
        <v>8.0000000000000016E-2</v>
      </c>
      <c r="BF64" s="442"/>
      <c r="BG64" s="442">
        <f t="shared" si="152"/>
        <v>3.81</v>
      </c>
      <c r="BH64" s="442"/>
      <c r="BI64" s="442"/>
      <c r="BJ64" s="442"/>
      <c r="BK64" s="485"/>
      <c r="BL64" s="485"/>
      <c r="BM64" s="450">
        <f t="shared" si="17"/>
        <v>0</v>
      </c>
      <c r="BN64" s="450">
        <f t="shared" si="18"/>
        <v>40.248714999999997</v>
      </c>
      <c r="BO64" s="450">
        <f t="shared" si="19"/>
        <v>0</v>
      </c>
      <c r="BP64" s="450">
        <f t="shared" si="20"/>
        <v>0</v>
      </c>
      <c r="BQ64" s="450">
        <f t="shared" si="38"/>
        <v>0</v>
      </c>
      <c r="BR64" s="485"/>
      <c r="BS64" s="442">
        <f t="shared" si="158"/>
        <v>0</v>
      </c>
      <c r="BT64" s="442">
        <f t="shared" si="167"/>
        <v>7.9583839999999952</v>
      </c>
      <c r="BU64" s="442">
        <f t="shared" si="167"/>
        <v>0</v>
      </c>
      <c r="BV64" s="442">
        <f t="shared" si="167"/>
        <v>0</v>
      </c>
      <c r="BW64" s="442">
        <f t="shared" si="167"/>
        <v>0</v>
      </c>
      <c r="BX64" s="441"/>
      <c r="BY64" s="441"/>
      <c r="BZ64" s="441"/>
      <c r="CA64" s="441"/>
      <c r="CB64" s="441"/>
      <c r="CG64" s="455"/>
      <c r="DC64" s="508"/>
      <c r="DD64" s="508"/>
      <c r="DE64" s="508"/>
      <c r="DF64" s="508"/>
      <c r="DG64" s="508"/>
      <c r="DH64" s="508"/>
      <c r="DI64" s="508"/>
      <c r="DJ64" s="508"/>
      <c r="DK64" s="508"/>
      <c r="DL64" s="508"/>
      <c r="DM64" s="508"/>
      <c r="DN64" s="508"/>
      <c r="DO64" s="508"/>
      <c r="DP64" s="508"/>
    </row>
    <row r="65" spans="1:106">
      <c r="B65" s="714">
        <v>2</v>
      </c>
      <c r="C65" s="715" t="s">
        <v>97</v>
      </c>
      <c r="D65" s="714">
        <v>631</v>
      </c>
      <c r="E65" s="716">
        <v>37</v>
      </c>
      <c r="F65" s="717"/>
      <c r="G65" s="717" t="str">
        <f t="shared" si="107"/>
        <v>042631</v>
      </c>
      <c r="H65" s="271"/>
      <c r="I65" t="s">
        <v>105</v>
      </c>
      <c r="J65" t="s">
        <v>87</v>
      </c>
      <c r="K65" s="57" t="s">
        <v>119</v>
      </c>
      <c r="L65" s="91">
        <v>533</v>
      </c>
      <c r="M65" s="67">
        <f t="shared" si="169"/>
        <v>0</v>
      </c>
      <c r="N65" s="67">
        <f t="shared" si="169"/>
        <v>8</v>
      </c>
      <c r="O65" s="67">
        <f t="shared" si="169"/>
        <v>2</v>
      </c>
      <c r="P65" s="67">
        <f t="shared" si="169"/>
        <v>0</v>
      </c>
      <c r="Q65" s="67">
        <f t="shared" si="169"/>
        <v>0</v>
      </c>
      <c r="R65" s="444">
        <f t="shared" si="114"/>
        <v>0</v>
      </c>
      <c r="S65" s="470">
        <v>0</v>
      </c>
      <c r="T65" s="470">
        <v>40.69</v>
      </c>
      <c r="U65" s="470">
        <v>13.76</v>
      </c>
      <c r="V65" s="470">
        <v>0</v>
      </c>
      <c r="W65" s="470">
        <v>0</v>
      </c>
      <c r="Y65" s="68">
        <f>IF(AND(M65&lt;&gt;0,S65=0),#VALUE!,M65*S65)</f>
        <v>0</v>
      </c>
      <c r="Z65" s="68">
        <f>IF(AND(N65&lt;&gt;0,T65=0),#VALUE!,N65*T65)</f>
        <v>325.52</v>
      </c>
      <c r="AA65" s="68">
        <f>IF(AND(O65&lt;&gt;0,U65=0),#VALUE!,O65*U65)</f>
        <v>27.52</v>
      </c>
      <c r="AB65" s="68">
        <f>IF(AND(P65&lt;&gt;0,V65=0),#VALUE!,P65*V65)</f>
        <v>0</v>
      </c>
      <c r="AC65" s="68">
        <f>IF(AND(Q65&lt;&gt;0,W65=0),#VALUE!,Q65*W65)</f>
        <v>0</v>
      </c>
      <c r="AE65" s="67">
        <f>M65</f>
        <v>0</v>
      </c>
      <c r="AF65" s="67">
        <f t="shared" si="147"/>
        <v>8</v>
      </c>
      <c r="AG65" s="67">
        <f t="shared" si="148"/>
        <v>2</v>
      </c>
      <c r="AH65" s="67">
        <f t="shared" si="149"/>
        <v>0</v>
      </c>
      <c r="AI65" s="67">
        <f t="shared" si="150"/>
        <v>0</v>
      </c>
      <c r="AK65" s="449">
        <f t="shared" si="163"/>
        <v>0</v>
      </c>
      <c r="AL65" s="449">
        <f>ROUND(T65*(1+AL$1),2)</f>
        <v>44.86</v>
      </c>
      <c r="AM65" s="449">
        <f t="shared" si="164"/>
        <v>15.26</v>
      </c>
      <c r="AN65" s="449">
        <f t="shared" si="165"/>
        <v>0</v>
      </c>
      <c r="AO65" s="449">
        <f t="shared" si="166"/>
        <v>0</v>
      </c>
      <c r="AQ65" s="68">
        <f t="shared" si="125"/>
        <v>0</v>
      </c>
      <c r="AR65" s="68">
        <f t="shared" si="120"/>
        <v>358.88</v>
      </c>
      <c r="AS65" s="68">
        <f t="shared" si="126"/>
        <v>30.52</v>
      </c>
      <c r="AT65" s="68">
        <f t="shared" si="127"/>
        <v>0</v>
      </c>
      <c r="AU65" s="68">
        <f t="shared" si="128"/>
        <v>0</v>
      </c>
      <c r="AV65" s="68">
        <f t="shared" si="160"/>
        <v>33.360000000000014</v>
      </c>
      <c r="AW65" s="400">
        <f t="shared" si="161"/>
        <v>0.10248218235438687</v>
      </c>
      <c r="AX65" s="392">
        <v>85</v>
      </c>
      <c r="AY65" s="446"/>
      <c r="AZ65" s="446">
        <v>37.903833999999996</v>
      </c>
      <c r="BA65" s="446">
        <v>12.66</v>
      </c>
      <c r="BB65" s="446"/>
      <c r="BC65" s="446"/>
      <c r="BD65" s="131"/>
      <c r="BE65" s="452">
        <f t="shared" si="144"/>
        <v>0.17999999999999994</v>
      </c>
      <c r="BF65" s="52"/>
      <c r="BG65" s="52">
        <f t="shared" si="152"/>
        <v>3.58</v>
      </c>
      <c r="BH65" s="52">
        <f>ROUND((U65*$BF$2)+$BE65-BA65,2)</f>
        <v>1.49</v>
      </c>
      <c r="BI65" s="52"/>
      <c r="BJ65" s="52"/>
      <c r="BM65" s="450">
        <f t="shared" si="17"/>
        <v>0</v>
      </c>
      <c r="BN65" s="450">
        <f t="shared" si="18"/>
        <v>45.537385999999998</v>
      </c>
      <c r="BO65" s="450">
        <f t="shared" si="19"/>
        <v>15.490425999999998</v>
      </c>
      <c r="BP65" s="450">
        <f t="shared" si="20"/>
        <v>0</v>
      </c>
      <c r="BQ65" s="450">
        <f t="shared" si="38"/>
        <v>0</v>
      </c>
      <c r="BS65" s="442">
        <f t="shared" si="158"/>
        <v>0</v>
      </c>
      <c r="BT65" s="52">
        <f>BN65-AZ65</f>
        <v>7.6335520000000017</v>
      </c>
      <c r="BU65" s="52">
        <f>BO65-BA65</f>
        <v>2.8304259999999974</v>
      </c>
      <c r="BV65" s="52">
        <f>BP65-BB65</f>
        <v>0</v>
      </c>
      <c r="BW65" s="52">
        <f>BQ65-BC65</f>
        <v>0</v>
      </c>
      <c r="BX65" s="485"/>
      <c r="BY65" s="485"/>
      <c r="BZ65" s="485"/>
      <c r="CA65" s="485"/>
      <c r="CB65" s="485"/>
      <c r="CC65" s="485"/>
      <c r="CD65" s="485"/>
      <c r="CE65" s="485"/>
      <c r="CF65" s="485"/>
    </row>
    <row r="66" spans="1:106">
      <c r="B66" s="714">
        <v>2</v>
      </c>
      <c r="C66" s="715" t="s">
        <v>97</v>
      </c>
      <c r="D66" s="714">
        <v>633</v>
      </c>
      <c r="E66" s="716">
        <v>33</v>
      </c>
      <c r="F66" s="717"/>
      <c r="G66" s="717" t="str">
        <f t="shared" si="107"/>
        <v>042633</v>
      </c>
      <c r="H66" s="271"/>
      <c r="I66" s="380" t="s">
        <v>605</v>
      </c>
      <c r="J66" s="441" t="s">
        <v>87</v>
      </c>
      <c r="K66" s="443" t="s">
        <v>516</v>
      </c>
      <c r="L66" s="445" t="s">
        <v>509</v>
      </c>
      <c r="M66" s="444">
        <f t="shared" si="169"/>
        <v>0</v>
      </c>
      <c r="N66" s="444">
        <f t="shared" si="169"/>
        <v>53</v>
      </c>
      <c r="O66" s="444">
        <f t="shared" si="169"/>
        <v>0</v>
      </c>
      <c r="P66" s="444">
        <f t="shared" si="169"/>
        <v>0</v>
      </c>
      <c r="Q66" s="444">
        <f t="shared" si="169"/>
        <v>0</v>
      </c>
      <c r="R66" s="444">
        <f t="shared" si="114"/>
        <v>0</v>
      </c>
      <c r="S66" s="470">
        <v>0</v>
      </c>
      <c r="T66" s="487">
        <v>40.69</v>
      </c>
      <c r="U66" s="470">
        <v>0</v>
      </c>
      <c r="V66" s="470">
        <v>0</v>
      </c>
      <c r="W66" s="470">
        <v>0</v>
      </c>
      <c r="X66" s="441"/>
      <c r="Y66" s="68">
        <f t="shared" ref="Y66:AC67" si="170">IF(AND(M66&lt;&gt;0,S66=0),#VALUE!,M66*S66)</f>
        <v>0</v>
      </c>
      <c r="Z66" s="68">
        <f t="shared" si="170"/>
        <v>2156.5699999999997</v>
      </c>
      <c r="AA66" s="68">
        <f t="shared" si="170"/>
        <v>0</v>
      </c>
      <c r="AB66" s="68">
        <f t="shared" si="170"/>
        <v>0</v>
      </c>
      <c r="AC66" s="68">
        <f t="shared" si="170"/>
        <v>0</v>
      </c>
      <c r="AD66" s="441"/>
      <c r="AE66" s="444">
        <f>SUMIF($G:$G,TEXT(AE$3,"000")&amp;TEXT($L66,"000"),$E:$E)</f>
        <v>0</v>
      </c>
      <c r="AF66" s="444">
        <f>SUMIF($G:$G,TEXT(AF$3,"000")&amp;TEXT($L66,"000"),$E:$E)</f>
        <v>53</v>
      </c>
      <c r="AG66" s="444">
        <f>SUMIF($G:$G,TEXT(AG$3,"000")&amp;TEXT($L66,"000"),$E:$E)</f>
        <v>0</v>
      </c>
      <c r="AH66" s="444">
        <f>SUMIF($G:$G,TEXT(AH$3,"000")&amp;TEXT($L66,"000"),$E:$E)</f>
        <v>0</v>
      </c>
      <c r="AI66" s="444">
        <f>SUMIF($G:$G,TEXT(AI$3,"000")&amp;TEXT($L66,"000"),$E:$E)</f>
        <v>0</v>
      </c>
      <c r="AJ66" s="441"/>
      <c r="AK66" s="449">
        <f t="shared" si="163"/>
        <v>0</v>
      </c>
      <c r="AL66" s="449">
        <f>AL65</f>
        <v>44.86</v>
      </c>
      <c r="AM66" s="449">
        <f t="shared" si="164"/>
        <v>0</v>
      </c>
      <c r="AN66" s="449">
        <f t="shared" si="165"/>
        <v>0</v>
      </c>
      <c r="AO66" s="449">
        <f t="shared" si="166"/>
        <v>0</v>
      </c>
      <c r="AP66" s="441"/>
      <c r="AQ66" s="68">
        <f t="shared" si="125"/>
        <v>0</v>
      </c>
      <c r="AR66" s="68">
        <f t="shared" si="120"/>
        <v>2377.58</v>
      </c>
      <c r="AS66" s="68">
        <f t="shared" si="126"/>
        <v>0</v>
      </c>
      <c r="AT66" s="68">
        <f t="shared" si="127"/>
        <v>0</v>
      </c>
      <c r="AU66" s="68">
        <f t="shared" si="128"/>
        <v>0</v>
      </c>
      <c r="AV66" s="68">
        <f t="shared" si="160"/>
        <v>221.01000000000022</v>
      </c>
      <c r="AW66" s="400">
        <f t="shared" si="161"/>
        <v>0.10248218235438694</v>
      </c>
      <c r="AX66" s="454">
        <v>39</v>
      </c>
      <c r="AY66" s="446"/>
      <c r="AZ66" s="446">
        <v>37.903833999999996</v>
      </c>
      <c r="BA66" s="446"/>
      <c r="BB66" s="446"/>
      <c r="BC66" s="446"/>
      <c r="BD66" s="446"/>
      <c r="BE66" s="452">
        <f t="shared" si="144"/>
        <v>8.0000000000000016E-2</v>
      </c>
      <c r="BF66" s="442"/>
      <c r="BG66" s="442">
        <f t="shared" si="152"/>
        <v>3.48</v>
      </c>
      <c r="BH66" s="442"/>
      <c r="BI66" s="442"/>
      <c r="BJ66" s="442"/>
      <c r="BK66" s="441"/>
      <c r="BL66" s="441"/>
      <c r="BM66" s="450">
        <f t="shared" si="17"/>
        <v>0</v>
      </c>
      <c r="BN66" s="450">
        <f t="shared" si="18"/>
        <v>45.537385999999998</v>
      </c>
      <c r="BO66" s="450">
        <f t="shared" si="19"/>
        <v>0</v>
      </c>
      <c r="BP66" s="450">
        <f t="shared" si="20"/>
        <v>0</v>
      </c>
      <c r="BQ66" s="450">
        <f t="shared" si="38"/>
        <v>0</v>
      </c>
      <c r="BR66" s="441"/>
      <c r="BS66" s="442">
        <f t="shared" si="158"/>
        <v>0</v>
      </c>
      <c r="BT66" s="442">
        <f t="shared" ref="BT66:BW67" si="171">BN66-AZ66</f>
        <v>7.6335520000000017</v>
      </c>
      <c r="BU66" s="442">
        <f t="shared" si="171"/>
        <v>0</v>
      </c>
      <c r="BV66" s="442">
        <f t="shared" si="171"/>
        <v>0</v>
      </c>
      <c r="BW66" s="442">
        <f t="shared" si="171"/>
        <v>0</v>
      </c>
    </row>
    <row r="67" spans="1:106">
      <c r="B67" s="714">
        <v>2</v>
      </c>
      <c r="C67" s="715" t="s">
        <v>97</v>
      </c>
      <c r="D67" s="714">
        <v>636</v>
      </c>
      <c r="E67" s="716">
        <v>2</v>
      </c>
      <c r="F67" s="717"/>
      <c r="G67" s="717" t="str">
        <f t="shared" ref="G67:G80" si="172">IF(OR(ISBLANK(C67),ISBLANK(D67)),"",TEXT(C67,"000")&amp;TEXT(D67,"000"))</f>
        <v>042636</v>
      </c>
      <c r="H67" s="271"/>
      <c r="I67" s="485" t="s">
        <v>605</v>
      </c>
      <c r="J67" s="485" t="s">
        <v>87</v>
      </c>
      <c r="K67" s="443" t="s">
        <v>516</v>
      </c>
      <c r="L67" s="445" t="s">
        <v>604</v>
      </c>
      <c r="M67" s="444">
        <f t="shared" si="169"/>
        <v>0</v>
      </c>
      <c r="N67" s="444">
        <f t="shared" si="169"/>
        <v>46</v>
      </c>
      <c r="O67" s="444">
        <f t="shared" si="169"/>
        <v>0</v>
      </c>
      <c r="P67" s="444">
        <f t="shared" si="169"/>
        <v>0</v>
      </c>
      <c r="Q67" s="444">
        <f t="shared" si="169"/>
        <v>0</v>
      </c>
      <c r="R67" s="444">
        <f t="shared" si="114"/>
        <v>0</v>
      </c>
      <c r="S67" s="470">
        <v>0</v>
      </c>
      <c r="T67" s="487">
        <v>35.479999999999997</v>
      </c>
      <c r="U67" s="470">
        <v>0</v>
      </c>
      <c r="V67" s="470">
        <v>0</v>
      </c>
      <c r="W67" s="470">
        <v>0</v>
      </c>
      <c r="X67" s="485"/>
      <c r="Y67" s="68">
        <f t="shared" si="170"/>
        <v>0</v>
      </c>
      <c r="Z67" s="68">
        <f t="shared" si="170"/>
        <v>1632.08</v>
      </c>
      <c r="AA67" s="696">
        <f t="shared" si="170"/>
        <v>0</v>
      </c>
      <c r="AB67" s="68">
        <f t="shared" si="170"/>
        <v>0</v>
      </c>
      <c r="AC67" s="68">
        <f t="shared" si="170"/>
        <v>0</v>
      </c>
      <c r="AD67" s="485"/>
      <c r="AE67" s="444">
        <f>M67</f>
        <v>0</v>
      </c>
      <c r="AF67" s="444">
        <f>N67</f>
        <v>46</v>
      </c>
      <c r="AG67" s="444">
        <f>O67</f>
        <v>0</v>
      </c>
      <c r="AH67" s="444">
        <f>P67</f>
        <v>0</v>
      </c>
      <c r="AI67" s="444">
        <f>Q67</f>
        <v>0</v>
      </c>
      <c r="AJ67" s="485"/>
      <c r="AK67" s="449">
        <f t="shared" si="163"/>
        <v>0</v>
      </c>
      <c r="AL67" s="449">
        <f>AL66-AL103</f>
        <v>39.65</v>
      </c>
      <c r="AM67" s="449">
        <f t="shared" si="164"/>
        <v>0</v>
      </c>
      <c r="AN67" s="449">
        <f t="shared" si="165"/>
        <v>0</v>
      </c>
      <c r="AO67" s="449">
        <f t="shared" si="166"/>
        <v>0</v>
      </c>
      <c r="AP67" s="485"/>
      <c r="AQ67" s="68">
        <f t="shared" si="125"/>
        <v>0</v>
      </c>
      <c r="AR67" s="68">
        <f t="shared" si="120"/>
        <v>1823.8999999999999</v>
      </c>
      <c r="AS67" s="68">
        <f t="shared" si="126"/>
        <v>0</v>
      </c>
      <c r="AT67" s="68">
        <f t="shared" si="127"/>
        <v>0</v>
      </c>
      <c r="AU67" s="68">
        <f t="shared" si="128"/>
        <v>0</v>
      </c>
      <c r="AV67" s="68">
        <f t="shared" si="160"/>
        <v>191.81999999999994</v>
      </c>
      <c r="AW67" s="400">
        <f t="shared" si="161"/>
        <v>0.11753100338218711</v>
      </c>
      <c r="AX67" s="454">
        <v>39</v>
      </c>
      <c r="AY67" s="446"/>
      <c r="AZ67" s="446">
        <v>32.290331000000002</v>
      </c>
      <c r="BA67" s="446"/>
      <c r="BB67" s="446"/>
      <c r="BC67" s="446"/>
      <c r="BD67" s="446"/>
      <c r="BE67" s="452">
        <f t="shared" si="144"/>
        <v>8.0000000000000016E-2</v>
      </c>
      <c r="BF67" s="442"/>
      <c r="BG67" s="442">
        <f t="shared" si="152"/>
        <v>3.81</v>
      </c>
      <c r="BH67" s="442"/>
      <c r="BI67" s="442"/>
      <c r="BJ67" s="442"/>
      <c r="BK67" s="485"/>
      <c r="BL67" s="485"/>
      <c r="BM67" s="450">
        <f t="shared" si="17"/>
        <v>0</v>
      </c>
      <c r="BN67" s="450">
        <f t="shared" si="18"/>
        <v>40.248714999999997</v>
      </c>
      <c r="BO67" s="450">
        <f t="shared" si="19"/>
        <v>0</v>
      </c>
      <c r="BP67" s="450">
        <f t="shared" si="20"/>
        <v>0</v>
      </c>
      <c r="BQ67" s="450">
        <f t="shared" si="38"/>
        <v>0</v>
      </c>
      <c r="BR67" s="485"/>
      <c r="BS67" s="442">
        <f t="shared" si="158"/>
        <v>0</v>
      </c>
      <c r="BT67" s="442">
        <f t="shared" si="171"/>
        <v>7.9583839999999952</v>
      </c>
      <c r="BU67" s="442">
        <f t="shared" si="171"/>
        <v>0</v>
      </c>
      <c r="BV67" s="442">
        <f t="shared" si="171"/>
        <v>0</v>
      </c>
      <c r="BW67" s="442">
        <f t="shared" si="171"/>
        <v>0</v>
      </c>
      <c r="BX67" s="441"/>
      <c r="BY67" s="441"/>
      <c r="BZ67" s="441"/>
      <c r="CA67" s="441"/>
      <c r="CB67" s="441"/>
    </row>
    <row r="68" spans="1:106">
      <c r="B68" s="714">
        <v>2</v>
      </c>
      <c r="C68" s="715" t="s">
        <v>97</v>
      </c>
      <c r="D68" s="714">
        <v>831</v>
      </c>
      <c r="E68" s="716">
        <v>0</v>
      </c>
      <c r="F68" s="717"/>
      <c r="G68" s="717" t="str">
        <f t="shared" si="172"/>
        <v>042831</v>
      </c>
      <c r="H68" s="271"/>
      <c r="I68" t="s">
        <v>105</v>
      </c>
      <c r="J68" t="s">
        <v>671</v>
      </c>
      <c r="K68" s="57" t="s">
        <v>119</v>
      </c>
      <c r="L68" s="91">
        <v>535</v>
      </c>
      <c r="M68" s="67">
        <f t="shared" si="169"/>
        <v>0</v>
      </c>
      <c r="N68" s="67">
        <f t="shared" si="169"/>
        <v>88</v>
      </c>
      <c r="O68" s="67">
        <f t="shared" si="169"/>
        <v>7</v>
      </c>
      <c r="P68" s="67">
        <f t="shared" si="169"/>
        <v>0</v>
      </c>
      <c r="Q68" s="67">
        <f t="shared" si="169"/>
        <v>40</v>
      </c>
      <c r="R68" s="444">
        <f t="shared" si="114"/>
        <v>0</v>
      </c>
      <c r="S68" s="470">
        <v>0</v>
      </c>
      <c r="T68" s="470">
        <v>22.63</v>
      </c>
      <c r="U68" s="470">
        <v>13.76</v>
      </c>
      <c r="V68" s="470">
        <v>0</v>
      </c>
      <c r="W68" s="470">
        <v>10.88</v>
      </c>
      <c r="Y68" s="68">
        <f>IF(AND(M68&lt;&gt;0,S68=0),#VALUE!,M68*S68)</f>
        <v>0</v>
      </c>
      <c r="Z68" s="68">
        <f>IF(AND(N68&lt;&gt;0,T68=0),#VALUE!,N68*T68)</f>
        <v>1991.4399999999998</v>
      </c>
      <c r="AA68" s="68">
        <f>IF(AND(O68&lt;&gt;0,U68=0),#VALUE!,O68*U68)</f>
        <v>96.32</v>
      </c>
      <c r="AB68" s="68">
        <f>IF(AND(P68&lt;&gt;0,V68=0),#VALUE!,P68*V68)</f>
        <v>0</v>
      </c>
      <c r="AC68" s="68">
        <f>IF(AND(Q68&lt;&gt;0,W68=0),#VALUE!,Q68*W68)</f>
        <v>435.20000000000005</v>
      </c>
      <c r="AE68" s="67">
        <f>M68</f>
        <v>0</v>
      </c>
      <c r="AF68" s="67">
        <f t="shared" si="147"/>
        <v>88</v>
      </c>
      <c r="AG68" s="67">
        <f t="shared" si="148"/>
        <v>7</v>
      </c>
      <c r="AH68" s="67">
        <f t="shared" si="149"/>
        <v>0</v>
      </c>
      <c r="AI68" s="67">
        <f t="shared" si="150"/>
        <v>40</v>
      </c>
      <c r="AK68" s="449">
        <f t="shared" si="163"/>
        <v>0</v>
      </c>
      <c r="AL68" s="449">
        <f>ROUND(T68*(1+AL$1),2)</f>
        <v>24.95</v>
      </c>
      <c r="AM68" s="449">
        <f t="shared" si="164"/>
        <v>15.26</v>
      </c>
      <c r="AN68" s="449">
        <f t="shared" si="165"/>
        <v>0</v>
      </c>
      <c r="AO68" s="449">
        <f t="shared" si="166"/>
        <v>12.07</v>
      </c>
      <c r="AQ68" s="68">
        <f t="shared" si="125"/>
        <v>0</v>
      </c>
      <c r="AR68" s="68">
        <f t="shared" si="120"/>
        <v>2195.6</v>
      </c>
      <c r="AS68" s="68">
        <f t="shared" si="126"/>
        <v>106.82</v>
      </c>
      <c r="AT68" s="68">
        <f t="shared" si="127"/>
        <v>0</v>
      </c>
      <c r="AU68" s="68">
        <f t="shared" si="128"/>
        <v>482.8</v>
      </c>
      <c r="AV68" s="68">
        <f t="shared" si="160"/>
        <v>204.16000000000008</v>
      </c>
      <c r="AW68" s="400">
        <f t="shared" si="161"/>
        <v>0.10251878038002657</v>
      </c>
      <c r="AX68" s="392">
        <v>85</v>
      </c>
      <c r="AY68" s="446"/>
      <c r="AZ68" s="446">
        <v>21.083626999999996</v>
      </c>
      <c r="BA68" s="446">
        <v>12.66</v>
      </c>
      <c r="BB68" s="446"/>
      <c r="BC68" s="446">
        <v>10.01</v>
      </c>
      <c r="BD68" s="131"/>
      <c r="BE68" s="452">
        <f t="shared" si="144"/>
        <v>0.17999999999999994</v>
      </c>
      <c r="BF68" s="52"/>
      <c r="BG68" s="52">
        <f t="shared" si="152"/>
        <v>2.0699999999999998</v>
      </c>
      <c r="BH68" s="52">
        <f>ROUND((U68*$BF$2)+$BE68-BA68,2)</f>
        <v>1.49</v>
      </c>
      <c r="BI68" s="52"/>
      <c r="BJ68" s="52">
        <f>ROUND((W68*$BF$2)+$BE68-BC68,2)</f>
        <v>1.21</v>
      </c>
      <c r="BM68" s="450">
        <f t="shared" ref="BM68:BP104" si="173">AK68*$BM$1</f>
        <v>0</v>
      </c>
      <c r="BN68" s="450">
        <f t="shared" si="173"/>
        <v>25.326744999999995</v>
      </c>
      <c r="BO68" s="450">
        <f t="shared" si="173"/>
        <v>15.490425999999998</v>
      </c>
      <c r="BP68" s="450">
        <f t="shared" si="173"/>
        <v>0</v>
      </c>
      <c r="BQ68" s="450">
        <f t="shared" si="38"/>
        <v>12.252256999999998</v>
      </c>
      <c r="BS68" s="442">
        <f t="shared" si="158"/>
        <v>0</v>
      </c>
      <c r="BT68" s="52">
        <f>BN68-AZ68</f>
        <v>4.2431179999999991</v>
      </c>
      <c r="BU68" s="52">
        <f>BO68-BA68</f>
        <v>2.8304259999999974</v>
      </c>
      <c r="BV68" s="52">
        <f>BP68-BB68</f>
        <v>0</v>
      </c>
      <c r="BW68" s="52">
        <f>BQ68-BC68</f>
        <v>2.2422569999999986</v>
      </c>
      <c r="BX68" s="485"/>
      <c r="BY68" s="485"/>
      <c r="BZ68" s="485"/>
      <c r="CA68" s="485"/>
      <c r="CB68" s="485"/>
      <c r="CC68" s="485"/>
      <c r="CD68" s="485"/>
      <c r="CE68" s="485"/>
      <c r="CF68" s="485"/>
    </row>
    <row r="69" spans="1:106">
      <c r="A69" s="485"/>
      <c r="B69" s="714">
        <v>2</v>
      </c>
      <c r="C69" s="715" t="s">
        <v>97</v>
      </c>
      <c r="D69" s="714" t="s">
        <v>611</v>
      </c>
      <c r="E69" s="716">
        <v>40</v>
      </c>
      <c r="F69" s="717"/>
      <c r="G69" s="717" t="str">
        <f t="shared" si="172"/>
        <v>042831T</v>
      </c>
      <c r="H69" s="847"/>
      <c r="I69" s="380" t="s">
        <v>605</v>
      </c>
      <c r="J69" s="509" t="s">
        <v>671</v>
      </c>
      <c r="K69" s="443" t="s">
        <v>516</v>
      </c>
      <c r="L69" s="445" t="s">
        <v>510</v>
      </c>
      <c r="M69" s="444">
        <f t="shared" si="169"/>
        <v>0</v>
      </c>
      <c r="N69" s="444">
        <f t="shared" si="169"/>
        <v>866</v>
      </c>
      <c r="O69" s="444">
        <f t="shared" si="169"/>
        <v>0</v>
      </c>
      <c r="P69" s="444">
        <f t="shared" si="169"/>
        <v>0</v>
      </c>
      <c r="Q69" s="444">
        <f t="shared" si="169"/>
        <v>0</v>
      </c>
      <c r="R69" s="444">
        <f t="shared" si="114"/>
        <v>0</v>
      </c>
      <c r="S69" s="470">
        <v>0</v>
      </c>
      <c r="T69" s="487">
        <v>22.63</v>
      </c>
      <c r="U69" s="470">
        <v>0</v>
      </c>
      <c r="V69" s="470">
        <v>0</v>
      </c>
      <c r="W69" s="470">
        <v>0</v>
      </c>
      <c r="X69" s="441"/>
      <c r="Y69" s="68">
        <f t="shared" ref="Y69:AC70" si="174">IF(AND(M69&lt;&gt;0,S69=0),#VALUE!,M69*S69)</f>
        <v>0</v>
      </c>
      <c r="Z69" s="68">
        <f t="shared" si="174"/>
        <v>19597.579999999998</v>
      </c>
      <c r="AA69" s="696">
        <f t="shared" si="174"/>
        <v>0</v>
      </c>
      <c r="AB69" s="68">
        <f t="shared" si="174"/>
        <v>0</v>
      </c>
      <c r="AC69" s="68">
        <f t="shared" si="174"/>
        <v>0</v>
      </c>
      <c r="AD69" s="441"/>
      <c r="AE69" s="444">
        <f>SUMIF($G:$G,TEXT(AE$3,"000")&amp;TEXT($L69,"000"),$E:$E)</f>
        <v>0</v>
      </c>
      <c r="AF69" s="444">
        <f>SUMIF($G:$G,TEXT(AF$3,"000")&amp;TEXT($L69,"000"),$E:$E)</f>
        <v>866</v>
      </c>
      <c r="AG69" s="444">
        <f>SUMIF($G:$G,TEXT(AG$3,"000")&amp;TEXT($L69,"000"),$E:$E)</f>
        <v>0</v>
      </c>
      <c r="AH69" s="444">
        <f>SUMIF($G:$G,TEXT(AH$3,"000")&amp;TEXT($L69,"000"),$E:$E)</f>
        <v>0</v>
      </c>
      <c r="AI69" s="444">
        <f>SUMIF($G:$G,TEXT(AI$3,"000")&amp;TEXT($L69,"000"),$E:$E)</f>
        <v>0</v>
      </c>
      <c r="AJ69" s="441"/>
      <c r="AK69" s="449">
        <f t="shared" si="163"/>
        <v>0</v>
      </c>
      <c r="AL69" s="449">
        <f>AL68</f>
        <v>24.95</v>
      </c>
      <c r="AM69" s="449">
        <f t="shared" si="164"/>
        <v>0</v>
      </c>
      <c r="AN69" s="449">
        <f t="shared" si="165"/>
        <v>0</v>
      </c>
      <c r="AO69" s="449">
        <f t="shared" si="166"/>
        <v>0</v>
      </c>
      <c r="AP69" s="441"/>
      <c r="AQ69" s="68">
        <f t="shared" si="125"/>
        <v>0</v>
      </c>
      <c r="AR69" s="68">
        <f t="shared" si="120"/>
        <v>21606.7</v>
      </c>
      <c r="AS69" s="68">
        <f t="shared" si="126"/>
        <v>0</v>
      </c>
      <c r="AT69" s="68">
        <f t="shared" si="127"/>
        <v>0</v>
      </c>
      <c r="AU69" s="68">
        <f t="shared" si="128"/>
        <v>0</v>
      </c>
      <c r="AV69" s="68">
        <f t="shared" si="160"/>
        <v>2009.1200000000026</v>
      </c>
      <c r="AW69" s="400">
        <f t="shared" si="161"/>
        <v>0.10251878038002665</v>
      </c>
      <c r="AX69" s="454">
        <v>39</v>
      </c>
      <c r="AY69" s="446"/>
      <c r="AZ69" s="446">
        <v>21.083626999999996</v>
      </c>
      <c r="BA69" s="446"/>
      <c r="BB69" s="446"/>
      <c r="BC69" s="446"/>
      <c r="BD69" s="446"/>
      <c r="BE69" s="452">
        <f t="shared" si="144"/>
        <v>8.0000000000000016E-2</v>
      </c>
      <c r="BF69" s="442"/>
      <c r="BG69" s="442">
        <f t="shared" si="152"/>
        <v>1.97</v>
      </c>
      <c r="BH69" s="442"/>
      <c r="BI69" s="442"/>
      <c r="BJ69" s="442"/>
      <c r="BK69" s="441"/>
      <c r="BL69" s="441"/>
      <c r="BM69" s="450">
        <f t="shared" si="173"/>
        <v>0</v>
      </c>
      <c r="BN69" s="450">
        <f t="shared" si="173"/>
        <v>25.326744999999995</v>
      </c>
      <c r="BO69" s="450">
        <f t="shared" si="173"/>
        <v>0</v>
      </c>
      <c r="BP69" s="450">
        <f t="shared" si="173"/>
        <v>0</v>
      </c>
      <c r="BQ69" s="450">
        <f t="shared" ref="BQ69:BQ104" si="175">AO69*$BM$1</f>
        <v>0</v>
      </c>
      <c r="BR69" s="441"/>
      <c r="BS69" s="442">
        <f t="shared" si="158"/>
        <v>0</v>
      </c>
      <c r="BT69" s="442">
        <f t="shared" ref="BT69:BW70" si="176">BN69-AZ69</f>
        <v>4.2431179999999991</v>
      </c>
      <c r="BU69" s="442">
        <f t="shared" si="176"/>
        <v>0</v>
      </c>
      <c r="BV69" s="442">
        <f t="shared" si="176"/>
        <v>0</v>
      </c>
      <c r="BW69" s="442">
        <f t="shared" si="176"/>
        <v>0</v>
      </c>
    </row>
    <row r="70" spans="1:106">
      <c r="A70" s="505"/>
      <c r="B70" s="714">
        <v>2</v>
      </c>
      <c r="C70" s="715" t="s">
        <v>97</v>
      </c>
      <c r="D70" s="714" t="s">
        <v>535</v>
      </c>
      <c r="E70" s="716">
        <v>1</v>
      </c>
      <c r="F70" s="717"/>
      <c r="G70" s="717" t="str">
        <f t="shared" si="172"/>
        <v>042831L</v>
      </c>
      <c r="H70" s="271"/>
      <c r="I70" s="485" t="s">
        <v>605</v>
      </c>
      <c r="J70" s="509" t="s">
        <v>671</v>
      </c>
      <c r="K70" s="443" t="s">
        <v>516</v>
      </c>
      <c r="L70" s="445" t="s">
        <v>606</v>
      </c>
      <c r="M70" s="444">
        <f t="shared" si="169"/>
        <v>0</v>
      </c>
      <c r="N70" s="444">
        <f t="shared" si="169"/>
        <v>405</v>
      </c>
      <c r="O70" s="444">
        <f t="shared" si="169"/>
        <v>0</v>
      </c>
      <c r="P70" s="444">
        <f t="shared" si="169"/>
        <v>0</v>
      </c>
      <c r="Q70" s="444">
        <f t="shared" si="169"/>
        <v>0</v>
      </c>
      <c r="R70" s="444">
        <f t="shared" si="114"/>
        <v>0</v>
      </c>
      <c r="S70" s="470">
        <v>0</v>
      </c>
      <c r="T70" s="487">
        <v>17.419999999999998</v>
      </c>
      <c r="U70" s="470">
        <v>0</v>
      </c>
      <c r="V70" s="470">
        <v>0</v>
      </c>
      <c r="W70" s="470">
        <v>0</v>
      </c>
      <c r="X70" s="485"/>
      <c r="Y70" s="68">
        <f t="shared" si="174"/>
        <v>0</v>
      </c>
      <c r="Z70" s="68">
        <f t="shared" si="174"/>
        <v>7055.0999999999995</v>
      </c>
      <c r="AA70" s="696">
        <f t="shared" si="174"/>
        <v>0</v>
      </c>
      <c r="AB70" s="68">
        <f t="shared" si="174"/>
        <v>0</v>
      </c>
      <c r="AC70" s="696">
        <f t="shared" si="174"/>
        <v>0</v>
      </c>
      <c r="AD70" s="485"/>
      <c r="AE70" s="444">
        <f>M70</f>
        <v>0</v>
      </c>
      <c r="AF70" s="444">
        <f>N70</f>
        <v>405</v>
      </c>
      <c r="AG70" s="444">
        <f>O70</f>
        <v>0</v>
      </c>
      <c r="AH70" s="444">
        <f>P70</f>
        <v>0</v>
      </c>
      <c r="AI70" s="444">
        <f>Q70</f>
        <v>0</v>
      </c>
      <c r="AJ70" s="485"/>
      <c r="AK70" s="449">
        <f t="shared" si="163"/>
        <v>0</v>
      </c>
      <c r="AL70" s="449">
        <f>AL69-AL103</f>
        <v>19.739999999999998</v>
      </c>
      <c r="AM70" s="449">
        <f t="shared" si="164"/>
        <v>0</v>
      </c>
      <c r="AN70" s="449">
        <f t="shared" si="165"/>
        <v>0</v>
      </c>
      <c r="AO70" s="449">
        <f t="shared" si="166"/>
        <v>0</v>
      </c>
      <c r="AP70" s="485"/>
      <c r="AQ70" s="68">
        <f t="shared" si="125"/>
        <v>0</v>
      </c>
      <c r="AR70" s="68">
        <f t="shared" si="120"/>
        <v>7994.7</v>
      </c>
      <c r="AS70" s="68">
        <f t="shared" si="126"/>
        <v>0</v>
      </c>
      <c r="AT70" s="68">
        <f t="shared" si="127"/>
        <v>0</v>
      </c>
      <c r="AU70" s="68">
        <f t="shared" si="128"/>
        <v>0</v>
      </c>
      <c r="AV70" s="68">
        <f t="shared" si="160"/>
        <v>939.60000000000036</v>
      </c>
      <c r="AW70" s="400">
        <f t="shared" si="161"/>
        <v>0.13318025258323771</v>
      </c>
      <c r="AX70" s="454">
        <v>39</v>
      </c>
      <c r="AY70" s="446"/>
      <c r="AZ70" s="446">
        <v>15.470123999999997</v>
      </c>
      <c r="BA70" s="446"/>
      <c r="BB70" s="446"/>
      <c r="BC70" s="446"/>
      <c r="BD70" s="446"/>
      <c r="BE70" s="452">
        <f t="shared" si="144"/>
        <v>8.0000000000000016E-2</v>
      </c>
      <c r="BF70" s="442"/>
      <c r="BG70" s="442">
        <f t="shared" si="152"/>
        <v>2.29</v>
      </c>
      <c r="BH70" s="442"/>
      <c r="BI70" s="442"/>
      <c r="BJ70" s="442"/>
      <c r="BK70" s="485"/>
      <c r="BL70" s="485"/>
      <c r="BM70" s="450">
        <f t="shared" si="173"/>
        <v>0</v>
      </c>
      <c r="BN70" s="450">
        <f t="shared" si="173"/>
        <v>20.038073999999995</v>
      </c>
      <c r="BO70" s="450">
        <f t="shared" si="173"/>
        <v>0</v>
      </c>
      <c r="BP70" s="450">
        <f t="shared" si="173"/>
        <v>0</v>
      </c>
      <c r="BQ70" s="450">
        <f t="shared" si="175"/>
        <v>0</v>
      </c>
      <c r="BR70" s="485"/>
      <c r="BS70" s="442">
        <f t="shared" si="158"/>
        <v>0</v>
      </c>
      <c r="BT70" s="442">
        <f t="shared" si="176"/>
        <v>4.567949999999998</v>
      </c>
      <c r="BU70" s="442">
        <f t="shared" si="176"/>
        <v>0</v>
      </c>
      <c r="BV70" s="442">
        <f t="shared" si="176"/>
        <v>0</v>
      </c>
      <c r="BW70" s="442">
        <f t="shared" si="176"/>
        <v>0</v>
      </c>
      <c r="BX70" s="441"/>
      <c r="BY70" s="441"/>
      <c r="BZ70" s="441"/>
      <c r="CA70" s="441"/>
      <c r="CB70" s="441"/>
      <c r="CE70" s="455"/>
      <c r="CF70" s="455"/>
    </row>
    <row r="71" spans="1:106">
      <c r="B71" s="714">
        <v>2</v>
      </c>
      <c r="C71" s="715" t="s">
        <v>97</v>
      </c>
      <c r="D71" s="714">
        <v>832</v>
      </c>
      <c r="E71" s="716">
        <v>0</v>
      </c>
      <c r="F71" s="717"/>
      <c r="G71" s="717" t="str">
        <f t="shared" si="172"/>
        <v>042832</v>
      </c>
      <c r="H71" s="271"/>
      <c r="I71" t="s">
        <v>105</v>
      </c>
      <c r="J71" t="s">
        <v>113</v>
      </c>
      <c r="K71" s="57" t="s">
        <v>119</v>
      </c>
      <c r="L71" s="91">
        <v>536</v>
      </c>
      <c r="M71" s="67">
        <f t="shared" si="169"/>
        <v>0</v>
      </c>
      <c r="N71" s="67">
        <f t="shared" si="169"/>
        <v>83</v>
      </c>
      <c r="O71" s="67">
        <f t="shared" si="169"/>
        <v>0</v>
      </c>
      <c r="P71" s="67">
        <f t="shared" si="169"/>
        <v>0</v>
      </c>
      <c r="Q71" s="67">
        <f t="shared" si="169"/>
        <v>0</v>
      </c>
      <c r="R71" s="444">
        <f t="shared" si="114"/>
        <v>0</v>
      </c>
      <c r="S71" s="470">
        <v>0</v>
      </c>
      <c r="T71" s="470">
        <v>27.49</v>
      </c>
      <c r="U71" s="470">
        <v>0</v>
      </c>
      <c r="V71" s="470">
        <v>0</v>
      </c>
      <c r="W71" s="470">
        <v>0</v>
      </c>
      <c r="Y71" s="68">
        <f>IF(AND(M71&lt;&gt;0,S71=0),#VALUE!,M71*S71)</f>
        <v>0</v>
      </c>
      <c r="Z71" s="68">
        <f>IF(AND(N71&lt;&gt;0,T71=0),#VALUE!,N71*T71)</f>
        <v>2281.67</v>
      </c>
      <c r="AA71" s="68">
        <f>IF(AND(O71&lt;&gt;0,U71=0),#VALUE!,O71*U71)</f>
        <v>0</v>
      </c>
      <c r="AB71" s="68">
        <f>IF(AND(P71&lt;&gt;0,V71=0),#VALUE!,P71*V71)</f>
        <v>0</v>
      </c>
      <c r="AC71" s="68">
        <f>IF(AND(Q71&lt;&gt;0,W71=0),#VALUE!,Q71*W71)</f>
        <v>0</v>
      </c>
      <c r="AE71" s="67">
        <f>M71</f>
        <v>0</v>
      </c>
      <c r="AF71" s="67">
        <f t="shared" si="147"/>
        <v>83</v>
      </c>
      <c r="AG71" s="67">
        <f t="shared" si="148"/>
        <v>0</v>
      </c>
      <c r="AH71" s="67">
        <f t="shared" si="149"/>
        <v>0</v>
      </c>
      <c r="AI71" s="67">
        <f t="shared" si="150"/>
        <v>0</v>
      </c>
      <c r="AK71" s="449">
        <f t="shared" si="163"/>
        <v>0</v>
      </c>
      <c r="AL71" s="449">
        <f>ROUND(T71*(1+AL$1),2)</f>
        <v>30.31</v>
      </c>
      <c r="AM71" s="449">
        <f t="shared" si="164"/>
        <v>0</v>
      </c>
      <c r="AN71" s="449">
        <f t="shared" si="165"/>
        <v>0</v>
      </c>
      <c r="AO71" s="449">
        <f t="shared" si="166"/>
        <v>0</v>
      </c>
      <c r="AQ71" s="68">
        <f t="shared" si="125"/>
        <v>0</v>
      </c>
      <c r="AR71" s="68">
        <f t="shared" si="120"/>
        <v>2515.73</v>
      </c>
      <c r="AS71" s="68">
        <f t="shared" si="126"/>
        <v>0</v>
      </c>
      <c r="AT71" s="68">
        <f t="shared" si="127"/>
        <v>0</v>
      </c>
      <c r="AU71" s="68">
        <f t="shared" si="128"/>
        <v>0</v>
      </c>
      <c r="AV71" s="68">
        <f t="shared" si="160"/>
        <v>234.05999999999995</v>
      </c>
      <c r="AW71" s="400">
        <f t="shared" si="161"/>
        <v>0.102582757366315</v>
      </c>
      <c r="AX71" s="392">
        <v>85</v>
      </c>
      <c r="AY71" s="446"/>
      <c r="AZ71" s="446">
        <v>25.600821999999997</v>
      </c>
      <c r="BA71" s="446"/>
      <c r="BB71" s="446"/>
      <c r="BC71" s="446"/>
      <c r="BD71" s="131"/>
      <c r="BE71" s="452">
        <f t="shared" si="144"/>
        <v>0.17999999999999994</v>
      </c>
      <c r="BF71" s="52"/>
      <c r="BG71" s="52">
        <f t="shared" si="152"/>
        <v>2.48</v>
      </c>
      <c r="BH71" s="52"/>
      <c r="BI71" s="52"/>
      <c r="BJ71" s="52"/>
      <c r="BM71" s="450">
        <f t="shared" si="173"/>
        <v>0</v>
      </c>
      <c r="BN71" s="450">
        <f t="shared" si="173"/>
        <v>30.767680999999996</v>
      </c>
      <c r="BO71" s="450">
        <f t="shared" si="173"/>
        <v>0</v>
      </c>
      <c r="BP71" s="450">
        <f t="shared" si="173"/>
        <v>0</v>
      </c>
      <c r="BQ71" s="450">
        <f t="shared" si="175"/>
        <v>0</v>
      </c>
      <c r="BS71" s="442">
        <f t="shared" si="158"/>
        <v>0</v>
      </c>
      <c r="BT71" s="52">
        <f>BN71-AZ71</f>
        <v>5.1668589999999988</v>
      </c>
      <c r="BU71" s="52">
        <f>BO71-BA71</f>
        <v>0</v>
      </c>
      <c r="BV71" s="52">
        <f>BP71-BB71</f>
        <v>0</v>
      </c>
      <c r="BW71" s="52">
        <f>BQ71-BC71</f>
        <v>0</v>
      </c>
      <c r="BX71" s="485"/>
      <c r="BY71" s="485"/>
      <c r="BZ71" s="485"/>
      <c r="CA71" s="485"/>
      <c r="CB71" s="485"/>
      <c r="CC71" s="485"/>
      <c r="CD71" s="485"/>
      <c r="CE71" s="485"/>
      <c r="CF71" s="485"/>
    </row>
    <row r="72" spans="1:106">
      <c r="A72" s="505"/>
      <c r="B72" s="714">
        <v>2</v>
      </c>
      <c r="C72" s="715" t="s">
        <v>97</v>
      </c>
      <c r="D72" s="714" t="s">
        <v>662</v>
      </c>
      <c r="E72" s="716">
        <f>2+1</f>
        <v>3</v>
      </c>
      <c r="F72" s="717"/>
      <c r="G72" s="717" t="str">
        <f t="shared" si="172"/>
        <v>042832T</v>
      </c>
      <c r="H72" s="847"/>
      <c r="I72" s="380" t="s">
        <v>605</v>
      </c>
      <c r="J72" s="441" t="s">
        <v>113</v>
      </c>
      <c r="K72" s="443" t="s">
        <v>516</v>
      </c>
      <c r="L72" s="445" t="s">
        <v>511</v>
      </c>
      <c r="M72" s="444">
        <f t="shared" si="169"/>
        <v>0</v>
      </c>
      <c r="N72" s="444">
        <f t="shared" si="169"/>
        <v>340</v>
      </c>
      <c r="O72" s="444">
        <f t="shared" si="169"/>
        <v>0</v>
      </c>
      <c r="P72" s="444">
        <f t="shared" si="169"/>
        <v>0</v>
      </c>
      <c r="Q72" s="444">
        <f t="shared" si="169"/>
        <v>0</v>
      </c>
      <c r="R72" s="444">
        <f t="shared" si="114"/>
        <v>0</v>
      </c>
      <c r="S72" s="470">
        <v>0</v>
      </c>
      <c r="T72" s="487">
        <v>27.49</v>
      </c>
      <c r="U72" s="470">
        <v>0</v>
      </c>
      <c r="V72" s="470">
        <v>0</v>
      </c>
      <c r="W72" s="470">
        <v>0</v>
      </c>
      <c r="X72" s="441"/>
      <c r="Y72" s="68">
        <f t="shared" ref="Y72:AC73" si="177">IF(AND(M72&lt;&gt;0,S72=0),#VALUE!,M72*S72)</f>
        <v>0</v>
      </c>
      <c r="Z72" s="68">
        <f t="shared" si="177"/>
        <v>9346.6</v>
      </c>
      <c r="AA72" s="68">
        <f t="shared" si="177"/>
        <v>0</v>
      </c>
      <c r="AB72" s="68">
        <f t="shared" si="177"/>
        <v>0</v>
      </c>
      <c r="AC72" s="68">
        <f t="shared" si="177"/>
        <v>0</v>
      </c>
      <c r="AD72" s="441"/>
      <c r="AE72" s="444">
        <f>SUMIF($G:$G,TEXT(AE$3,"000")&amp;TEXT($L72,"000"),$E:$E)</f>
        <v>0</v>
      </c>
      <c r="AF72" s="444">
        <f>SUMIF($G:$G,TEXT(AF$3,"000")&amp;TEXT($L72,"000"),$E:$E)</f>
        <v>340</v>
      </c>
      <c r="AG72" s="444">
        <f>SUMIF($G:$G,TEXT(AG$3,"000")&amp;TEXT($L72,"000"),$E:$E)</f>
        <v>0</v>
      </c>
      <c r="AH72" s="444">
        <f>SUMIF($G:$G,TEXT(AH$3,"000")&amp;TEXT($L72,"000"),$E:$E)</f>
        <v>0</v>
      </c>
      <c r="AI72" s="444">
        <f>SUMIF($G:$G,TEXT(AI$3,"000")&amp;TEXT($L72,"000"),$E:$E)</f>
        <v>0</v>
      </c>
      <c r="AJ72" s="441"/>
      <c r="AK72" s="449">
        <f t="shared" si="163"/>
        <v>0</v>
      </c>
      <c r="AL72" s="449">
        <f>AL71</f>
        <v>30.31</v>
      </c>
      <c r="AM72" s="449">
        <f t="shared" si="164"/>
        <v>0</v>
      </c>
      <c r="AN72" s="449">
        <f t="shared" si="165"/>
        <v>0</v>
      </c>
      <c r="AO72" s="449">
        <f t="shared" si="166"/>
        <v>0</v>
      </c>
      <c r="AP72" s="441"/>
      <c r="AQ72" s="68">
        <f t="shared" si="125"/>
        <v>0</v>
      </c>
      <c r="AR72" s="68">
        <f t="shared" si="120"/>
        <v>10305.4</v>
      </c>
      <c r="AS72" s="68">
        <f t="shared" si="126"/>
        <v>0</v>
      </c>
      <c r="AT72" s="68">
        <f t="shared" si="127"/>
        <v>0</v>
      </c>
      <c r="AU72" s="68">
        <f t="shared" si="128"/>
        <v>0</v>
      </c>
      <c r="AV72" s="68">
        <f t="shared" si="160"/>
        <v>958.79999999999927</v>
      </c>
      <c r="AW72" s="400">
        <f t="shared" si="161"/>
        <v>0.10258275736631495</v>
      </c>
      <c r="AX72" s="454">
        <v>39</v>
      </c>
      <c r="AY72" s="446"/>
      <c r="AZ72" s="446">
        <v>25.600821999999997</v>
      </c>
      <c r="BA72" s="446"/>
      <c r="BB72" s="446"/>
      <c r="BC72" s="446"/>
      <c r="BD72" s="446"/>
      <c r="BE72" s="452">
        <f t="shared" si="144"/>
        <v>8.0000000000000016E-2</v>
      </c>
      <c r="BF72" s="442"/>
      <c r="BG72" s="442">
        <f t="shared" si="152"/>
        <v>2.38</v>
      </c>
      <c r="BH72" s="442"/>
      <c r="BI72" s="442"/>
      <c r="BJ72" s="442"/>
      <c r="BK72" s="441"/>
      <c r="BL72" s="441"/>
      <c r="BM72" s="450">
        <f t="shared" si="173"/>
        <v>0</v>
      </c>
      <c r="BN72" s="450">
        <f t="shared" si="173"/>
        <v>30.767680999999996</v>
      </c>
      <c r="BO72" s="450">
        <f t="shared" si="173"/>
        <v>0</v>
      </c>
      <c r="BP72" s="450">
        <f t="shared" si="173"/>
        <v>0</v>
      </c>
      <c r="BQ72" s="450">
        <f t="shared" si="175"/>
        <v>0</v>
      </c>
      <c r="BR72" s="441"/>
      <c r="BS72" s="442">
        <f t="shared" si="158"/>
        <v>0</v>
      </c>
      <c r="BT72" s="442">
        <f t="shared" ref="BT72:BW73" si="178">BN72-AZ72</f>
        <v>5.1668589999999988</v>
      </c>
      <c r="BU72" s="442">
        <f t="shared" si="178"/>
        <v>0</v>
      </c>
      <c r="BV72" s="442">
        <f t="shared" si="178"/>
        <v>0</v>
      </c>
      <c r="BW72" s="442">
        <f t="shared" si="178"/>
        <v>0</v>
      </c>
      <c r="CH72" s="485"/>
    </row>
    <row r="73" spans="1:106">
      <c r="A73" s="505"/>
      <c r="B73" s="714">
        <v>2</v>
      </c>
      <c r="C73" s="715" t="s">
        <v>97</v>
      </c>
      <c r="D73" s="714" t="s">
        <v>536</v>
      </c>
      <c r="E73" s="716">
        <v>1</v>
      </c>
      <c r="F73" s="717"/>
      <c r="G73" s="717" t="str">
        <f t="shared" si="172"/>
        <v>042832L</v>
      </c>
      <c r="H73" s="271"/>
      <c r="I73" s="485" t="s">
        <v>605</v>
      </c>
      <c r="J73" s="485" t="s">
        <v>113</v>
      </c>
      <c r="K73" s="443" t="s">
        <v>516</v>
      </c>
      <c r="L73" s="445" t="s">
        <v>607</v>
      </c>
      <c r="M73" s="444">
        <f t="shared" si="169"/>
        <v>0</v>
      </c>
      <c r="N73" s="444">
        <f t="shared" si="169"/>
        <v>342</v>
      </c>
      <c r="O73" s="444">
        <f t="shared" si="169"/>
        <v>0</v>
      </c>
      <c r="P73" s="444">
        <f t="shared" si="169"/>
        <v>0</v>
      </c>
      <c r="Q73" s="444">
        <f t="shared" si="169"/>
        <v>0</v>
      </c>
      <c r="R73" s="444">
        <f t="shared" si="114"/>
        <v>0</v>
      </c>
      <c r="S73" s="470">
        <v>0</v>
      </c>
      <c r="T73" s="487">
        <v>22.279999999999998</v>
      </c>
      <c r="U73" s="470">
        <v>0</v>
      </c>
      <c r="V73" s="470">
        <v>0</v>
      </c>
      <c r="W73" s="470">
        <v>0</v>
      </c>
      <c r="X73" s="485"/>
      <c r="Y73" s="68">
        <f t="shared" si="177"/>
        <v>0</v>
      </c>
      <c r="Z73" s="68">
        <f t="shared" si="177"/>
        <v>7619.7599999999993</v>
      </c>
      <c r="AA73" s="68">
        <f t="shared" si="177"/>
        <v>0</v>
      </c>
      <c r="AB73" s="68">
        <f t="shared" si="177"/>
        <v>0</v>
      </c>
      <c r="AC73" s="68">
        <f t="shared" si="177"/>
        <v>0</v>
      </c>
      <c r="AD73" s="485"/>
      <c r="AE73" s="444">
        <f>M73</f>
        <v>0</v>
      </c>
      <c r="AF73" s="444">
        <f>N73</f>
        <v>342</v>
      </c>
      <c r="AG73" s="444">
        <f>O73</f>
        <v>0</v>
      </c>
      <c r="AH73" s="444">
        <f>P73</f>
        <v>0</v>
      </c>
      <c r="AI73" s="444">
        <f>Q73</f>
        <v>0</v>
      </c>
      <c r="AJ73" s="485"/>
      <c r="AK73" s="449">
        <f t="shared" si="163"/>
        <v>0</v>
      </c>
      <c r="AL73" s="449">
        <f>AL72-AL103</f>
        <v>25.099999999999998</v>
      </c>
      <c r="AM73" s="449">
        <f t="shared" si="164"/>
        <v>0</v>
      </c>
      <c r="AN73" s="449">
        <f t="shared" si="165"/>
        <v>0</v>
      </c>
      <c r="AO73" s="449">
        <f t="shared" si="166"/>
        <v>0</v>
      </c>
      <c r="AP73" s="485"/>
      <c r="AQ73" s="68">
        <f t="shared" si="125"/>
        <v>0</v>
      </c>
      <c r="AR73" s="68">
        <f t="shared" si="120"/>
        <v>8584.1999999999989</v>
      </c>
      <c r="AS73" s="68">
        <f t="shared" si="126"/>
        <v>0</v>
      </c>
      <c r="AT73" s="68">
        <f t="shared" si="127"/>
        <v>0</v>
      </c>
      <c r="AU73" s="68">
        <f t="shared" si="128"/>
        <v>0</v>
      </c>
      <c r="AV73" s="68">
        <f t="shared" si="160"/>
        <v>964.4399999999996</v>
      </c>
      <c r="AW73" s="400">
        <f t="shared" si="161"/>
        <v>0.12657091561938955</v>
      </c>
      <c r="AX73" s="454">
        <v>39</v>
      </c>
      <c r="AY73" s="446"/>
      <c r="AZ73" s="446">
        <v>19.987318999999996</v>
      </c>
      <c r="BA73" s="446"/>
      <c r="BB73" s="446"/>
      <c r="BC73" s="446"/>
      <c r="BD73" s="446"/>
      <c r="BE73" s="452">
        <f t="shared" si="144"/>
        <v>8.0000000000000016E-2</v>
      </c>
      <c r="BF73" s="442"/>
      <c r="BG73" s="442">
        <f t="shared" si="152"/>
        <v>2.71</v>
      </c>
      <c r="BH73" s="442"/>
      <c r="BI73" s="442"/>
      <c r="BJ73" s="442"/>
      <c r="BK73" s="485"/>
      <c r="BL73" s="485"/>
      <c r="BM73" s="450">
        <f t="shared" si="173"/>
        <v>0</v>
      </c>
      <c r="BN73" s="450">
        <f t="shared" si="173"/>
        <v>25.479009999999995</v>
      </c>
      <c r="BO73" s="450">
        <f t="shared" si="173"/>
        <v>0</v>
      </c>
      <c r="BP73" s="450">
        <f t="shared" si="173"/>
        <v>0</v>
      </c>
      <c r="BQ73" s="450">
        <f t="shared" si="175"/>
        <v>0</v>
      </c>
      <c r="BR73" s="485"/>
      <c r="BS73" s="442">
        <f t="shared" si="158"/>
        <v>0</v>
      </c>
      <c r="BT73" s="442">
        <f t="shared" si="178"/>
        <v>5.4916909999999994</v>
      </c>
      <c r="BU73" s="442">
        <f t="shared" si="178"/>
        <v>0</v>
      </c>
      <c r="BV73" s="442">
        <f t="shared" si="178"/>
        <v>0</v>
      </c>
      <c r="BW73" s="442">
        <f t="shared" si="178"/>
        <v>0</v>
      </c>
      <c r="BX73" s="441"/>
      <c r="BY73" s="441"/>
      <c r="BZ73" s="441"/>
      <c r="CA73" s="455"/>
      <c r="CB73" s="455"/>
      <c r="CC73" s="455"/>
      <c r="CD73" s="455"/>
      <c r="CE73" s="455"/>
      <c r="CF73" s="455"/>
    </row>
    <row r="74" spans="1:106">
      <c r="B74" s="714">
        <v>2</v>
      </c>
      <c r="C74" s="715" t="s">
        <v>97</v>
      </c>
      <c r="D74" s="714">
        <v>835</v>
      </c>
      <c r="E74" s="716">
        <v>2</v>
      </c>
      <c r="F74" s="717"/>
      <c r="G74" s="717" t="str">
        <f t="shared" si="172"/>
        <v>042835</v>
      </c>
      <c r="H74" s="271"/>
      <c r="I74" t="s">
        <v>116</v>
      </c>
      <c r="J74" t="s">
        <v>673</v>
      </c>
      <c r="K74" s="57" t="s">
        <v>119</v>
      </c>
      <c r="L74" s="91">
        <v>541</v>
      </c>
      <c r="M74" s="67">
        <f t="shared" ref="M74:Q83" si="179">SUMIF($G:$G,TEXT(M$3,"000")&amp;TEXT($L74,"000"),$E:$E)</f>
        <v>0</v>
      </c>
      <c r="N74" s="67">
        <f t="shared" si="179"/>
        <v>2</v>
      </c>
      <c r="O74" s="67">
        <f t="shared" si="179"/>
        <v>0</v>
      </c>
      <c r="P74" s="67">
        <f t="shared" si="179"/>
        <v>0</v>
      </c>
      <c r="Q74" s="67">
        <f t="shared" si="179"/>
        <v>0</v>
      </c>
      <c r="R74" s="444">
        <f t="shared" si="114"/>
        <v>0</v>
      </c>
      <c r="S74" s="470">
        <v>0</v>
      </c>
      <c r="T74" s="470">
        <v>50.12</v>
      </c>
      <c r="U74" s="470">
        <v>0</v>
      </c>
      <c r="V74" s="470">
        <v>0</v>
      </c>
      <c r="W74" s="470">
        <v>0</v>
      </c>
      <c r="Y74" s="68">
        <f>IF(AND(M74&lt;&gt;0,S74=0),#VALUE!,M74*S74)</f>
        <v>0</v>
      </c>
      <c r="Z74" s="68">
        <f>IF(AND(N74&lt;&gt;0,T74=0),#VALUE!,N74*T74)</f>
        <v>100.24</v>
      </c>
      <c r="AA74" s="68">
        <f>IF(AND(O74&lt;&gt;0,U74=0),#VALUE!,O74*U74)</f>
        <v>0</v>
      </c>
      <c r="AB74" s="68">
        <f>IF(AND(P74&lt;&gt;0,V74=0),#VALUE!,P74*V74)</f>
        <v>0</v>
      </c>
      <c r="AC74" s="68">
        <f>IF(AND(Q74&lt;&gt;0,W74=0),#VALUE!,Q74*W74)</f>
        <v>0</v>
      </c>
      <c r="AE74" s="67">
        <f>M74</f>
        <v>0</v>
      </c>
      <c r="AF74" s="67">
        <f t="shared" si="147"/>
        <v>2</v>
      </c>
      <c r="AG74" s="67">
        <f t="shared" si="148"/>
        <v>0</v>
      </c>
      <c r="AH74" s="67">
        <f t="shared" si="149"/>
        <v>0</v>
      </c>
      <c r="AI74" s="67">
        <f t="shared" si="150"/>
        <v>0</v>
      </c>
      <c r="AK74" s="449">
        <f t="shared" si="163"/>
        <v>0</v>
      </c>
      <c r="AL74" s="449">
        <f>ROUND(T74*(1+AL$1),2)</f>
        <v>55.25</v>
      </c>
      <c r="AM74" s="449">
        <f t="shared" si="164"/>
        <v>0</v>
      </c>
      <c r="AN74" s="449">
        <f t="shared" si="165"/>
        <v>0</v>
      </c>
      <c r="AO74" s="449">
        <f t="shared" si="166"/>
        <v>0</v>
      </c>
      <c r="AQ74" s="68">
        <f t="shared" si="125"/>
        <v>0</v>
      </c>
      <c r="AR74" s="68">
        <f t="shared" si="120"/>
        <v>110.5</v>
      </c>
      <c r="AS74" s="68">
        <f t="shared" si="126"/>
        <v>0</v>
      </c>
      <c r="AT74" s="68">
        <f t="shared" si="127"/>
        <v>0</v>
      </c>
      <c r="AU74" s="68">
        <f t="shared" si="128"/>
        <v>0</v>
      </c>
      <c r="AV74" s="68">
        <f t="shared" si="160"/>
        <v>10.260000000000005</v>
      </c>
      <c r="AW74" s="400">
        <f t="shared" si="161"/>
        <v>0.10235434956105353</v>
      </c>
      <c r="AX74" s="392">
        <v>170</v>
      </c>
      <c r="AY74" s="446"/>
      <c r="AZ74" s="446">
        <v>46.694599999999994</v>
      </c>
      <c r="BA74" s="446"/>
      <c r="BB74" s="446"/>
      <c r="BC74" s="446"/>
      <c r="BD74" s="131"/>
      <c r="BE74" s="452">
        <f t="shared" si="144"/>
        <v>0.38000000000000012</v>
      </c>
      <c r="BF74" s="52"/>
      <c r="BG74" s="52">
        <f t="shared" si="152"/>
        <v>4.5599999999999996</v>
      </c>
      <c r="BH74" s="52"/>
      <c r="BI74" s="52"/>
      <c r="BJ74" s="52"/>
      <c r="BM74" s="450">
        <f t="shared" si="173"/>
        <v>0</v>
      </c>
      <c r="BN74" s="450">
        <f t="shared" si="173"/>
        <v>56.084274999999991</v>
      </c>
      <c r="BO74" s="450">
        <f t="shared" si="173"/>
        <v>0</v>
      </c>
      <c r="BP74" s="450">
        <f t="shared" si="173"/>
        <v>0</v>
      </c>
      <c r="BQ74" s="450">
        <f t="shared" si="175"/>
        <v>0</v>
      </c>
      <c r="BS74" s="442">
        <f t="shared" si="158"/>
        <v>0</v>
      </c>
      <c r="BT74" s="52">
        <f>BN74-AZ74</f>
        <v>9.3896749999999969</v>
      </c>
      <c r="BU74" s="52">
        <f>BO74-BA74</f>
        <v>0</v>
      </c>
      <c r="BV74" s="52">
        <f>BP74-BB74</f>
        <v>0</v>
      </c>
      <c r="BW74" s="52">
        <f>BQ74-BC74</f>
        <v>0</v>
      </c>
      <c r="BX74" s="485"/>
      <c r="BY74" s="485"/>
      <c r="BZ74" s="485"/>
      <c r="CA74" s="485"/>
      <c r="CB74" s="485"/>
      <c r="CC74" s="485"/>
      <c r="CD74" s="485"/>
      <c r="CE74" s="485"/>
      <c r="CF74" s="485"/>
      <c r="CG74" s="485"/>
    </row>
    <row r="75" spans="1:106">
      <c r="A75" s="488"/>
      <c r="B75" s="714">
        <v>2</v>
      </c>
      <c r="C75" s="715" t="s">
        <v>97</v>
      </c>
      <c r="D75" s="714" t="s">
        <v>619</v>
      </c>
      <c r="E75" s="716">
        <v>36</v>
      </c>
      <c r="F75" s="717"/>
      <c r="G75" s="717" t="str">
        <f t="shared" si="172"/>
        <v>042835T</v>
      </c>
      <c r="H75" s="271"/>
      <c r="I75" s="380" t="s">
        <v>609</v>
      </c>
      <c r="J75" s="509" t="s">
        <v>673</v>
      </c>
      <c r="K75" s="443" t="s">
        <v>516</v>
      </c>
      <c r="L75" s="445" t="s">
        <v>512</v>
      </c>
      <c r="M75" s="444">
        <f t="shared" si="179"/>
        <v>0</v>
      </c>
      <c r="N75" s="444">
        <f t="shared" si="179"/>
        <v>0</v>
      </c>
      <c r="O75" s="444">
        <f t="shared" si="179"/>
        <v>0</v>
      </c>
      <c r="P75" s="444">
        <f t="shared" si="179"/>
        <v>0</v>
      </c>
      <c r="Q75" s="444">
        <f t="shared" si="179"/>
        <v>0</v>
      </c>
      <c r="R75" s="444">
        <f t="shared" si="114"/>
        <v>1</v>
      </c>
      <c r="S75" s="470">
        <v>0</v>
      </c>
      <c r="T75" s="487">
        <v>50.12</v>
      </c>
      <c r="U75" s="470">
        <v>0</v>
      </c>
      <c r="V75" s="470">
        <v>0</v>
      </c>
      <c r="W75" s="470">
        <v>0</v>
      </c>
      <c r="X75" s="441"/>
      <c r="Y75" s="68">
        <f t="shared" ref="Y75:AC75" si="180">IF(AND(M75&lt;&gt;0,S75=0),#VALUE!,M75*S75)</f>
        <v>0</v>
      </c>
      <c r="Z75" s="68">
        <f t="shared" si="180"/>
        <v>0</v>
      </c>
      <c r="AA75" s="68">
        <f t="shared" si="180"/>
        <v>0</v>
      </c>
      <c r="AB75" s="68">
        <f t="shared" si="180"/>
        <v>0</v>
      </c>
      <c r="AC75" s="68">
        <f t="shared" si="180"/>
        <v>0</v>
      </c>
      <c r="AD75" s="441"/>
      <c r="AE75" s="444">
        <f t="shared" ref="AE75:AI76" si="181">SUMIF($G:$G,TEXT(AE$3,"000")&amp;TEXT($L75,"000"),$E:$E)</f>
        <v>0</v>
      </c>
      <c r="AF75" s="444">
        <f t="shared" si="181"/>
        <v>0</v>
      </c>
      <c r="AG75" s="444">
        <f t="shared" si="181"/>
        <v>0</v>
      </c>
      <c r="AH75" s="444">
        <f t="shared" si="181"/>
        <v>0</v>
      </c>
      <c r="AI75" s="444">
        <f t="shared" si="181"/>
        <v>0</v>
      </c>
      <c r="AJ75" s="441"/>
      <c r="AK75" s="449">
        <f t="shared" si="163"/>
        <v>0</v>
      </c>
      <c r="AL75" s="449">
        <f>AL74</f>
        <v>55.25</v>
      </c>
      <c r="AM75" s="449">
        <f t="shared" si="164"/>
        <v>0</v>
      </c>
      <c r="AN75" s="449">
        <f t="shared" si="165"/>
        <v>0</v>
      </c>
      <c r="AO75" s="449">
        <f t="shared" si="166"/>
        <v>0</v>
      </c>
      <c r="AP75" s="441"/>
      <c r="AQ75" s="68">
        <f t="shared" ref="AQ75" si="182">IF(AND(AE75&lt;&gt;0,AK75=0),#VALUE!,AE75*AK75)</f>
        <v>0</v>
      </c>
      <c r="AR75" s="68">
        <f t="shared" ref="AR75" si="183">IF(AND(AF75&lt;&gt;0,AL75=0),#VALUE!,AF75*AL75)</f>
        <v>0</v>
      </c>
      <c r="AS75" s="68">
        <f t="shared" ref="AS75" si="184">IF(AND(AG75&lt;&gt;0,AM75=0),#VALUE!,AG75*AM75)</f>
        <v>0</v>
      </c>
      <c r="AT75" s="68">
        <f t="shared" ref="AT75" si="185">IF(AND(AH75&lt;&gt;0,AN75=0),#VALUE!,AH75*AN75)</f>
        <v>0</v>
      </c>
      <c r="AU75" s="68">
        <f t="shared" ref="AU75" si="186">IF(AND(AI75&lt;&gt;0,AO75=0),#VALUE!,AI75*AO75)</f>
        <v>0</v>
      </c>
      <c r="AV75" s="68">
        <f t="shared" si="160"/>
        <v>0</v>
      </c>
      <c r="AW75" s="400" t="e">
        <f t="shared" si="161"/>
        <v>#DIV/0!</v>
      </c>
      <c r="AX75" s="454">
        <v>78</v>
      </c>
      <c r="AY75" s="446"/>
      <c r="AZ75" s="446">
        <v>46.694599999999994</v>
      </c>
      <c r="BA75" s="446"/>
      <c r="BB75" s="446"/>
      <c r="BC75" s="446"/>
      <c r="BD75" s="446"/>
      <c r="BE75" s="452">
        <f t="shared" si="144"/>
        <v>0.18000000000000005</v>
      </c>
      <c r="BF75" s="442"/>
      <c r="BG75" s="442">
        <f t="shared" si="152"/>
        <v>4.3600000000000003</v>
      </c>
      <c r="BH75" s="442"/>
      <c r="BI75" s="442"/>
      <c r="BJ75" s="442"/>
      <c r="BK75" s="441"/>
      <c r="BL75" s="441"/>
      <c r="BM75" s="450">
        <f t="shared" si="173"/>
        <v>0</v>
      </c>
      <c r="BN75" s="450">
        <f t="shared" si="173"/>
        <v>56.084274999999991</v>
      </c>
      <c r="BO75" s="450">
        <f t="shared" si="173"/>
        <v>0</v>
      </c>
      <c r="BP75" s="450">
        <f t="shared" si="173"/>
        <v>0</v>
      </c>
      <c r="BQ75" s="450">
        <f t="shared" si="175"/>
        <v>0</v>
      </c>
      <c r="BR75" s="441"/>
      <c r="BS75" s="442">
        <f t="shared" si="158"/>
        <v>0</v>
      </c>
      <c r="BT75" s="442">
        <f t="shared" ref="BT75:BW75" si="187">BN75-AZ75</f>
        <v>9.3896749999999969</v>
      </c>
      <c r="BU75" s="442">
        <f t="shared" si="187"/>
        <v>0</v>
      </c>
      <c r="BV75" s="442">
        <f t="shared" si="187"/>
        <v>0</v>
      </c>
      <c r="BW75" s="442">
        <f t="shared" si="187"/>
        <v>0</v>
      </c>
      <c r="CH75" s="485"/>
    </row>
    <row r="76" spans="1:106">
      <c r="A76" s="505"/>
      <c r="B76" s="714">
        <v>2</v>
      </c>
      <c r="C76" s="715" t="s">
        <v>97</v>
      </c>
      <c r="D76" s="714" t="s">
        <v>537</v>
      </c>
      <c r="E76" s="716">
        <v>11</v>
      </c>
      <c r="F76" s="717"/>
      <c r="G76" s="717" t="str">
        <f t="shared" si="172"/>
        <v>042835L</v>
      </c>
      <c r="H76" s="247"/>
      <c r="I76" s="380" t="s">
        <v>609</v>
      </c>
      <c r="J76" s="486" t="s">
        <v>86</v>
      </c>
      <c r="K76" s="443" t="s">
        <v>516</v>
      </c>
      <c r="L76" s="445" t="s">
        <v>513</v>
      </c>
      <c r="M76" s="444">
        <f t="shared" si="179"/>
        <v>0</v>
      </c>
      <c r="N76" s="444">
        <f t="shared" si="179"/>
        <v>15</v>
      </c>
      <c r="O76" s="444">
        <f t="shared" si="179"/>
        <v>0</v>
      </c>
      <c r="P76" s="444">
        <f t="shared" si="179"/>
        <v>0</v>
      </c>
      <c r="Q76" s="444">
        <f t="shared" si="179"/>
        <v>0</v>
      </c>
      <c r="R76" s="444">
        <f t="shared" si="114"/>
        <v>0</v>
      </c>
      <c r="S76" s="470">
        <v>0</v>
      </c>
      <c r="T76" s="470">
        <v>68.959999999999994</v>
      </c>
      <c r="U76" s="470">
        <v>0</v>
      </c>
      <c r="V76" s="470">
        <v>0</v>
      </c>
      <c r="W76" s="470">
        <v>0</v>
      </c>
      <c r="X76" s="486"/>
      <c r="Y76" s="68">
        <f t="shared" ref="Y76:AC79" si="188">IF(AND(M76&lt;&gt;0,S76=0),#VALUE!,M76*S76)</f>
        <v>0</v>
      </c>
      <c r="Z76" s="68">
        <f t="shared" si="188"/>
        <v>1034.3999999999999</v>
      </c>
      <c r="AA76" s="68">
        <f t="shared" si="188"/>
        <v>0</v>
      </c>
      <c r="AB76" s="68">
        <f t="shared" si="188"/>
        <v>0</v>
      </c>
      <c r="AC76" s="68">
        <f t="shared" si="188"/>
        <v>0</v>
      </c>
      <c r="AD76" s="486"/>
      <c r="AE76" s="444">
        <f t="shared" si="181"/>
        <v>0</v>
      </c>
      <c r="AF76" s="444">
        <f t="shared" si="181"/>
        <v>15</v>
      </c>
      <c r="AG76" s="444">
        <f t="shared" si="181"/>
        <v>0</v>
      </c>
      <c r="AH76" s="444">
        <f t="shared" si="181"/>
        <v>0</v>
      </c>
      <c r="AI76" s="444">
        <f t="shared" si="181"/>
        <v>0</v>
      </c>
      <c r="AJ76" s="486"/>
      <c r="AK76" s="449">
        <f t="shared" si="163"/>
        <v>0</v>
      </c>
      <c r="AL76" s="449">
        <f>ROUND(T76*(1+AL$1),2)</f>
        <v>76.02</v>
      </c>
      <c r="AM76" s="449">
        <f t="shared" si="164"/>
        <v>0</v>
      </c>
      <c r="AN76" s="449">
        <f t="shared" si="165"/>
        <v>0</v>
      </c>
      <c r="AO76" s="449">
        <f t="shared" si="166"/>
        <v>0</v>
      </c>
      <c r="AP76" s="486"/>
      <c r="AQ76" s="68">
        <f t="shared" si="125"/>
        <v>0</v>
      </c>
      <c r="AR76" s="68">
        <f t="shared" ref="AR76:AR79" si="189">IF(AND(AF76&lt;&gt;0,AL76=0),#VALUE!,AF76*AL76)</f>
        <v>1140.3</v>
      </c>
      <c r="AS76" s="68">
        <f t="shared" si="126"/>
        <v>0</v>
      </c>
      <c r="AT76" s="68">
        <f t="shared" si="127"/>
        <v>0</v>
      </c>
      <c r="AU76" s="68">
        <f t="shared" si="128"/>
        <v>0</v>
      </c>
      <c r="AV76" s="68">
        <f t="shared" si="160"/>
        <v>105.90000000000009</v>
      </c>
      <c r="AW76" s="400">
        <f t="shared" si="161"/>
        <v>0.10237819025522052</v>
      </c>
      <c r="AX76" s="454">
        <v>78</v>
      </c>
      <c r="AY76" s="446"/>
      <c r="AZ76" s="446">
        <v>64.245678999999996</v>
      </c>
      <c r="BA76" s="446"/>
      <c r="BB76" s="446"/>
      <c r="BC76" s="446"/>
      <c r="BD76" s="446"/>
      <c r="BE76" s="452">
        <f t="shared" si="144"/>
        <v>0.18000000000000005</v>
      </c>
      <c r="BF76" s="442"/>
      <c r="BG76" s="442">
        <f t="shared" si="152"/>
        <v>5.94</v>
      </c>
      <c r="BH76" s="442"/>
      <c r="BI76" s="442"/>
      <c r="BJ76" s="442"/>
      <c r="BK76" s="486"/>
      <c r="BL76" s="486"/>
      <c r="BM76" s="450">
        <f t="shared" si="173"/>
        <v>0</v>
      </c>
      <c r="BN76" s="450">
        <f t="shared" si="173"/>
        <v>77.167901999999984</v>
      </c>
      <c r="BO76" s="450">
        <f t="shared" si="173"/>
        <v>0</v>
      </c>
      <c r="BP76" s="450">
        <f t="shared" si="173"/>
        <v>0</v>
      </c>
      <c r="BQ76" s="450">
        <f t="shared" si="175"/>
        <v>0</v>
      </c>
      <c r="BR76" s="486"/>
      <c r="BS76" s="442">
        <f t="shared" si="158"/>
        <v>0</v>
      </c>
      <c r="BT76" s="442">
        <f>BN76-AZ76</f>
        <v>12.922222999999988</v>
      </c>
      <c r="BU76" s="442">
        <f>BO76-BA76</f>
        <v>0</v>
      </c>
      <c r="BV76" s="442">
        <f>BP76-BB76</f>
        <v>0</v>
      </c>
      <c r="BW76" s="442">
        <f>BQ76-BC76</f>
        <v>0</v>
      </c>
      <c r="BX76" s="455"/>
      <c r="BY76" s="455"/>
      <c r="BZ76" s="455"/>
      <c r="CA76" s="455"/>
      <c r="CB76" s="455"/>
      <c r="CC76" s="455"/>
      <c r="CD76" s="455"/>
    </row>
    <row r="77" spans="1:106">
      <c r="A77" s="505"/>
      <c r="B77" s="714">
        <v>2</v>
      </c>
      <c r="C77" s="715" t="s">
        <v>97</v>
      </c>
      <c r="D77" s="714" t="s">
        <v>663</v>
      </c>
      <c r="E77" s="716">
        <v>4</v>
      </c>
      <c r="F77" s="717"/>
      <c r="G77" s="717" t="str">
        <f t="shared" si="172"/>
        <v>042836T</v>
      </c>
      <c r="H77" s="847"/>
      <c r="I77" s="485" t="s">
        <v>609</v>
      </c>
      <c r="J77" s="485" t="s">
        <v>86</v>
      </c>
      <c r="K77" s="443" t="s">
        <v>516</v>
      </c>
      <c r="L77" s="445" t="s">
        <v>610</v>
      </c>
      <c r="M77" s="444">
        <f t="shared" si="179"/>
        <v>0</v>
      </c>
      <c r="N77" s="444">
        <f t="shared" si="179"/>
        <v>8</v>
      </c>
      <c r="O77" s="444">
        <f t="shared" si="179"/>
        <v>0</v>
      </c>
      <c r="P77" s="444">
        <f t="shared" si="179"/>
        <v>0</v>
      </c>
      <c r="Q77" s="444">
        <f t="shared" si="179"/>
        <v>0</v>
      </c>
      <c r="R77" s="444">
        <f t="shared" si="114"/>
        <v>0</v>
      </c>
      <c r="S77" s="470">
        <v>0</v>
      </c>
      <c r="T77" s="487">
        <v>58.539999999999992</v>
      </c>
      <c r="U77" s="470">
        <v>0</v>
      </c>
      <c r="V77" s="470">
        <v>0</v>
      </c>
      <c r="W77" s="470">
        <v>0</v>
      </c>
      <c r="X77" s="485"/>
      <c r="Y77" s="68">
        <f t="shared" si="188"/>
        <v>0</v>
      </c>
      <c r="Z77" s="68">
        <f t="shared" si="188"/>
        <v>468.31999999999994</v>
      </c>
      <c r="AA77" s="68">
        <f t="shared" si="188"/>
        <v>0</v>
      </c>
      <c r="AB77" s="68">
        <f t="shared" si="188"/>
        <v>0</v>
      </c>
      <c r="AC77" s="68">
        <f t="shared" si="188"/>
        <v>0</v>
      </c>
      <c r="AD77" s="485"/>
      <c r="AE77" s="444">
        <f t="shared" ref="AE77:AI78" si="190">M77</f>
        <v>0</v>
      </c>
      <c r="AF77" s="444">
        <f t="shared" si="190"/>
        <v>8</v>
      </c>
      <c r="AG77" s="444">
        <f t="shared" si="190"/>
        <v>0</v>
      </c>
      <c r="AH77" s="444">
        <f t="shared" si="190"/>
        <v>0</v>
      </c>
      <c r="AI77" s="444">
        <f t="shared" si="190"/>
        <v>0</v>
      </c>
      <c r="AJ77" s="485"/>
      <c r="AK77" s="449">
        <f t="shared" si="163"/>
        <v>0</v>
      </c>
      <c r="AL77" s="449">
        <f>AL76-AL103-AL103</f>
        <v>65.600000000000009</v>
      </c>
      <c r="AM77" s="449">
        <f t="shared" si="164"/>
        <v>0</v>
      </c>
      <c r="AN77" s="449">
        <f t="shared" si="165"/>
        <v>0</v>
      </c>
      <c r="AO77" s="449">
        <f t="shared" si="166"/>
        <v>0</v>
      </c>
      <c r="AP77" s="485"/>
      <c r="AQ77" s="68">
        <f t="shared" si="125"/>
        <v>0</v>
      </c>
      <c r="AR77" s="68">
        <f t="shared" si="189"/>
        <v>524.80000000000007</v>
      </c>
      <c r="AS77" s="68">
        <f t="shared" si="126"/>
        <v>0</v>
      </c>
      <c r="AT77" s="68">
        <f t="shared" si="127"/>
        <v>0</v>
      </c>
      <c r="AU77" s="68">
        <f t="shared" si="128"/>
        <v>0</v>
      </c>
      <c r="AV77" s="68">
        <f t="shared" si="160"/>
        <v>56.480000000000132</v>
      </c>
      <c r="AW77" s="400">
        <f t="shared" si="161"/>
        <v>0.12060129825760194</v>
      </c>
      <c r="AX77" s="454">
        <v>78</v>
      </c>
      <c r="AY77" s="446"/>
      <c r="AZ77" s="446">
        <v>53.018672999999993</v>
      </c>
      <c r="BA77" s="446"/>
      <c r="BB77" s="446"/>
      <c r="BC77" s="446"/>
      <c r="BD77" s="446"/>
      <c r="BE77" s="452">
        <f t="shared" si="144"/>
        <v>0.18000000000000005</v>
      </c>
      <c r="BF77" s="442"/>
      <c r="BG77" s="442">
        <f t="shared" si="152"/>
        <v>6.59</v>
      </c>
      <c r="BH77" s="442"/>
      <c r="BI77" s="442"/>
      <c r="BJ77" s="442"/>
      <c r="BK77" s="485"/>
      <c r="BL77" s="485"/>
      <c r="BM77" s="450">
        <f t="shared" si="173"/>
        <v>0</v>
      </c>
      <c r="BN77" s="450">
        <f t="shared" si="173"/>
        <v>66.590559999999996</v>
      </c>
      <c r="BO77" s="450">
        <f t="shared" si="173"/>
        <v>0</v>
      </c>
      <c r="BP77" s="450">
        <f t="shared" si="173"/>
        <v>0</v>
      </c>
      <c r="BQ77" s="450">
        <f t="shared" si="175"/>
        <v>0</v>
      </c>
      <c r="BR77" s="485"/>
      <c r="BS77" s="442">
        <f t="shared" si="158"/>
        <v>0</v>
      </c>
      <c r="BT77" s="442">
        <f t="shared" ref="BT77:BW79" si="191">BN77-AZ77</f>
        <v>13.571887000000004</v>
      </c>
      <c r="BU77" s="442">
        <f t="shared" si="191"/>
        <v>0</v>
      </c>
      <c r="BV77" s="442">
        <f t="shared" si="191"/>
        <v>0</v>
      </c>
      <c r="BW77" s="442">
        <f t="shared" si="191"/>
        <v>0</v>
      </c>
      <c r="BX77" s="486"/>
      <c r="BY77" s="486"/>
      <c r="BZ77" s="486"/>
      <c r="CA77" s="486"/>
      <c r="CB77" s="486"/>
      <c r="CC77" s="486"/>
      <c r="CD77" s="486"/>
      <c r="CE77" s="486"/>
      <c r="CF77" s="486"/>
      <c r="CG77" s="486"/>
      <c r="CH77" s="486"/>
      <c r="CI77" s="486"/>
      <c r="CJ77" s="486"/>
      <c r="CK77" s="486"/>
      <c r="CL77" s="486"/>
      <c r="CM77" s="486"/>
      <c r="CN77" s="486"/>
      <c r="CO77" s="486"/>
      <c r="CP77" s="486"/>
      <c r="CQ77" s="486"/>
      <c r="CR77" s="486"/>
      <c r="CS77" s="486"/>
      <c r="CT77" s="486"/>
    </row>
    <row r="78" spans="1:106">
      <c r="B78" s="714">
        <v>2</v>
      </c>
      <c r="C78" s="715" t="s">
        <v>97</v>
      </c>
      <c r="D78" s="848" t="s">
        <v>538</v>
      </c>
      <c r="E78" s="716">
        <v>1</v>
      </c>
      <c r="F78" s="18"/>
      <c r="G78" s="717" t="str">
        <f t="shared" si="172"/>
        <v>042836L</v>
      </c>
      <c r="H78" s="847"/>
      <c r="I78" s="18" t="s">
        <v>609</v>
      </c>
      <c r="J78" s="18" t="s">
        <v>113</v>
      </c>
      <c r="K78" s="82" t="s">
        <v>516</v>
      </c>
      <c r="L78" s="287" t="s">
        <v>618</v>
      </c>
      <c r="M78" s="444">
        <f t="shared" si="179"/>
        <v>0</v>
      </c>
      <c r="N78" s="444">
        <f t="shared" si="179"/>
        <v>8</v>
      </c>
      <c r="O78" s="444">
        <f t="shared" si="179"/>
        <v>0</v>
      </c>
      <c r="P78" s="444">
        <f t="shared" si="179"/>
        <v>0</v>
      </c>
      <c r="Q78" s="444">
        <f t="shared" si="179"/>
        <v>0</v>
      </c>
      <c r="R78" s="444">
        <f t="shared" si="114"/>
        <v>0</v>
      </c>
      <c r="S78" s="470">
        <v>0</v>
      </c>
      <c r="T78" s="487">
        <v>44.55</v>
      </c>
      <c r="U78" s="470">
        <v>0</v>
      </c>
      <c r="V78" s="470">
        <v>0</v>
      </c>
      <c r="W78" s="470">
        <v>0</v>
      </c>
      <c r="X78" s="486"/>
      <c r="Y78" s="68">
        <f t="shared" si="188"/>
        <v>0</v>
      </c>
      <c r="Z78" s="68">
        <f t="shared" si="188"/>
        <v>356.4</v>
      </c>
      <c r="AA78" s="68">
        <f t="shared" si="188"/>
        <v>0</v>
      </c>
      <c r="AB78" s="68">
        <f t="shared" si="188"/>
        <v>0</v>
      </c>
      <c r="AC78" s="68">
        <f t="shared" si="188"/>
        <v>0</v>
      </c>
      <c r="AD78" s="486"/>
      <c r="AE78" s="444">
        <f t="shared" si="190"/>
        <v>0</v>
      </c>
      <c r="AF78" s="444">
        <f t="shared" si="190"/>
        <v>8</v>
      </c>
      <c r="AG78" s="444">
        <f t="shared" si="190"/>
        <v>0</v>
      </c>
      <c r="AH78" s="444">
        <f t="shared" si="190"/>
        <v>0</v>
      </c>
      <c r="AI78" s="444">
        <f t="shared" si="190"/>
        <v>0</v>
      </c>
      <c r="AJ78" s="486"/>
      <c r="AK78" s="449">
        <f t="shared" si="163"/>
        <v>0</v>
      </c>
      <c r="AL78" s="449">
        <f>AL143-AL103-AL103</f>
        <v>50.18</v>
      </c>
      <c r="AM78" s="449">
        <f t="shared" si="164"/>
        <v>0</v>
      </c>
      <c r="AN78" s="449">
        <f t="shared" si="165"/>
        <v>0</v>
      </c>
      <c r="AO78" s="449">
        <f t="shared" si="166"/>
        <v>0</v>
      </c>
      <c r="AP78" s="486"/>
      <c r="AQ78" s="68">
        <f t="shared" si="125"/>
        <v>0</v>
      </c>
      <c r="AR78" s="68">
        <f t="shared" si="189"/>
        <v>401.44</v>
      </c>
      <c r="AS78" s="68">
        <f t="shared" si="126"/>
        <v>0</v>
      </c>
      <c r="AT78" s="68">
        <f t="shared" si="127"/>
        <v>0</v>
      </c>
      <c r="AU78" s="68">
        <f t="shared" si="128"/>
        <v>0</v>
      </c>
      <c r="AV78" s="68">
        <f t="shared" si="160"/>
        <v>45.04000000000002</v>
      </c>
      <c r="AW78" s="400">
        <f t="shared" si="161"/>
        <v>0.12637485970819309</v>
      </c>
      <c r="AX78" s="454">
        <v>78</v>
      </c>
      <c r="AY78" s="446"/>
      <c r="AZ78" s="446">
        <v>38.340326999999995</v>
      </c>
      <c r="BA78" s="446"/>
      <c r="BB78" s="446"/>
      <c r="BC78" s="446"/>
      <c r="BD78" s="446"/>
      <c r="BE78" s="452">
        <f t="shared" si="144"/>
        <v>0.18000000000000005</v>
      </c>
      <c r="BF78" s="442"/>
      <c r="BG78" s="442">
        <f t="shared" si="152"/>
        <v>7.06</v>
      </c>
      <c r="BH78" s="442"/>
      <c r="BI78" s="442"/>
      <c r="BJ78" s="442"/>
      <c r="BK78" s="486"/>
      <c r="BL78" s="486"/>
      <c r="BM78" s="450">
        <f t="shared" si="173"/>
        <v>0</v>
      </c>
      <c r="BN78" s="450">
        <f t="shared" si="173"/>
        <v>50.937717999999997</v>
      </c>
      <c r="BO78" s="450">
        <f t="shared" si="173"/>
        <v>0</v>
      </c>
      <c r="BP78" s="450">
        <f t="shared" si="173"/>
        <v>0</v>
      </c>
      <c r="BQ78" s="450">
        <f t="shared" si="175"/>
        <v>0</v>
      </c>
      <c r="BR78" s="486"/>
      <c r="BS78" s="442">
        <f t="shared" si="158"/>
        <v>0</v>
      </c>
      <c r="BT78" s="442">
        <f t="shared" si="191"/>
        <v>12.597391000000002</v>
      </c>
      <c r="BU78" s="442">
        <f t="shared" si="191"/>
        <v>0</v>
      </c>
      <c r="BV78" s="442">
        <f t="shared" si="191"/>
        <v>0</v>
      </c>
      <c r="BW78" s="442">
        <f t="shared" si="191"/>
        <v>0</v>
      </c>
      <c r="BX78" s="485"/>
      <c r="BY78" s="485"/>
      <c r="BZ78" s="485"/>
      <c r="CA78" s="485"/>
      <c r="CB78" s="485"/>
      <c r="CC78" s="485"/>
      <c r="CD78" s="485"/>
      <c r="CE78" s="485"/>
      <c r="CF78" s="485"/>
      <c r="CG78" s="485"/>
    </row>
    <row r="79" spans="1:106">
      <c r="B79" s="714">
        <v>2</v>
      </c>
      <c r="C79" s="715" t="s">
        <v>97</v>
      </c>
      <c r="D79" s="714">
        <v>842</v>
      </c>
      <c r="E79" s="716">
        <v>2</v>
      </c>
      <c r="F79" s="717"/>
      <c r="G79" s="717" t="str">
        <f t="shared" si="172"/>
        <v>042842</v>
      </c>
      <c r="H79" s="271"/>
      <c r="I79" s="622" t="s">
        <v>605</v>
      </c>
      <c r="J79" s="622" t="s">
        <v>677</v>
      </c>
      <c r="K79" s="443" t="s">
        <v>516</v>
      </c>
      <c r="L79" s="537" t="s">
        <v>675</v>
      </c>
      <c r="M79" s="444">
        <f t="shared" si="179"/>
        <v>0</v>
      </c>
      <c r="N79" s="444">
        <f t="shared" si="179"/>
        <v>6</v>
      </c>
      <c r="O79" s="444">
        <f t="shared" si="179"/>
        <v>0</v>
      </c>
      <c r="P79" s="444">
        <f t="shared" si="179"/>
        <v>0</v>
      </c>
      <c r="Q79" s="444">
        <f t="shared" si="179"/>
        <v>0</v>
      </c>
      <c r="R79" s="444">
        <f t="shared" ref="R79" si="192">IF(SUM(M79:Q79)&gt;0,0,1)</f>
        <v>0</v>
      </c>
      <c r="S79" s="470">
        <v>0</v>
      </c>
      <c r="T79" s="470">
        <v>34.64</v>
      </c>
      <c r="U79" s="470">
        <v>0</v>
      </c>
      <c r="V79" s="470">
        <v>0</v>
      </c>
      <c r="W79" s="470">
        <v>0</v>
      </c>
      <c r="X79" s="622"/>
      <c r="Y79" s="68">
        <f t="shared" si="188"/>
        <v>0</v>
      </c>
      <c r="Z79" s="68">
        <f t="shared" si="188"/>
        <v>207.84</v>
      </c>
      <c r="AA79" s="68">
        <f t="shared" si="188"/>
        <v>0</v>
      </c>
      <c r="AB79" s="68">
        <f t="shared" si="188"/>
        <v>0</v>
      </c>
      <c r="AC79" s="68">
        <f t="shared" si="188"/>
        <v>0</v>
      </c>
      <c r="AD79" s="622"/>
      <c r="AE79" s="444">
        <f t="shared" ref="AE79:AI80" si="193">M79</f>
        <v>0</v>
      </c>
      <c r="AF79" s="444">
        <f t="shared" si="193"/>
        <v>6</v>
      </c>
      <c r="AG79" s="444">
        <f t="shared" si="193"/>
        <v>0</v>
      </c>
      <c r="AH79" s="444">
        <f t="shared" si="193"/>
        <v>0</v>
      </c>
      <c r="AI79" s="444">
        <f t="shared" si="193"/>
        <v>0</v>
      </c>
      <c r="AJ79" s="622"/>
      <c r="AK79" s="449">
        <f t="shared" si="163"/>
        <v>0</v>
      </c>
      <c r="AL79" s="449">
        <f t="shared" ref="AL79:AL88" si="194">ROUND(T79*(1+AL$1),2)</f>
        <v>38.19</v>
      </c>
      <c r="AM79" s="449">
        <f t="shared" si="164"/>
        <v>0</v>
      </c>
      <c r="AN79" s="449">
        <f t="shared" si="165"/>
        <v>0</v>
      </c>
      <c r="AO79" s="449">
        <f t="shared" si="166"/>
        <v>0</v>
      </c>
      <c r="AP79" s="622"/>
      <c r="AQ79" s="68">
        <f t="shared" si="125"/>
        <v>0</v>
      </c>
      <c r="AR79" s="68">
        <f t="shared" si="189"/>
        <v>229.14</v>
      </c>
      <c r="AS79" s="68">
        <f t="shared" si="126"/>
        <v>0</v>
      </c>
      <c r="AT79" s="68">
        <f t="shared" si="127"/>
        <v>0</v>
      </c>
      <c r="AU79" s="68">
        <f t="shared" si="128"/>
        <v>0</v>
      </c>
      <c r="AV79" s="68">
        <f>SUM(AQ79:AU79)-SUM(Y79:AC79)</f>
        <v>21.299999999999983</v>
      </c>
      <c r="AW79" s="68"/>
      <c r="AX79" s="454">
        <v>39</v>
      </c>
      <c r="AY79" s="446"/>
      <c r="AZ79" s="446">
        <v>32.270028999999994</v>
      </c>
      <c r="BA79" s="446"/>
      <c r="BB79" s="446"/>
      <c r="BC79" s="446"/>
      <c r="BD79" s="446"/>
      <c r="BE79" s="452">
        <f t="shared" ref="BE79" si="195">ROUND(AX79*$BE$2,2)+ROUND(AX79*$BE$1,2)</f>
        <v>8.0000000000000016E-2</v>
      </c>
      <c r="BF79" s="442"/>
      <c r="BG79" s="442">
        <f t="shared" si="152"/>
        <v>2.97</v>
      </c>
      <c r="BH79" s="442"/>
      <c r="BI79" s="442"/>
      <c r="BJ79" s="442"/>
      <c r="BK79" s="622"/>
      <c r="BL79" s="622"/>
      <c r="BM79" s="450">
        <f t="shared" si="173"/>
        <v>0</v>
      </c>
      <c r="BN79" s="450">
        <f t="shared" si="173"/>
        <v>38.766668999999993</v>
      </c>
      <c r="BO79" s="450">
        <f t="shared" si="173"/>
        <v>0</v>
      </c>
      <c r="BP79" s="450">
        <f t="shared" si="173"/>
        <v>0</v>
      </c>
      <c r="BQ79" s="450">
        <f t="shared" si="175"/>
        <v>0</v>
      </c>
      <c r="BR79" s="622"/>
      <c r="BS79" s="442">
        <f t="shared" si="158"/>
        <v>0</v>
      </c>
      <c r="BT79" s="442">
        <f t="shared" si="191"/>
        <v>6.4966399999999993</v>
      </c>
      <c r="BU79" s="442">
        <f t="shared" si="191"/>
        <v>0</v>
      </c>
      <c r="BV79" s="442">
        <f t="shared" si="191"/>
        <v>0</v>
      </c>
      <c r="BW79" s="442">
        <f t="shared" si="191"/>
        <v>0</v>
      </c>
      <c r="BX79" s="486"/>
      <c r="BY79" s="486"/>
      <c r="BZ79" s="486"/>
      <c r="CA79" s="486"/>
      <c r="CB79" s="486"/>
      <c r="CC79" s="486"/>
      <c r="CD79" s="486"/>
      <c r="CE79" s="486"/>
      <c r="CF79" s="486"/>
      <c r="CG79" s="486"/>
      <c r="CH79" s="486"/>
      <c r="CI79" s="486"/>
      <c r="CJ79" s="486"/>
      <c r="CK79" s="486"/>
      <c r="CL79" s="486"/>
      <c r="CM79" s="486"/>
      <c r="CN79" s="486"/>
      <c r="CO79" s="486"/>
      <c r="CP79" s="486"/>
      <c r="CQ79" s="486"/>
      <c r="CR79" s="486"/>
      <c r="CS79" s="486"/>
      <c r="CT79" s="486"/>
      <c r="CU79" s="486"/>
      <c r="CV79" s="486"/>
      <c r="CW79" s="486"/>
      <c r="CX79" s="486"/>
      <c r="CY79" s="486"/>
      <c r="CZ79" s="486"/>
      <c r="DA79" s="486"/>
      <c r="DB79" s="486"/>
    </row>
    <row r="80" spans="1:106" s="622" customFormat="1">
      <c r="A80" s="388"/>
      <c r="B80" s="714">
        <v>2</v>
      </c>
      <c r="C80" s="715" t="s">
        <v>97</v>
      </c>
      <c r="D80" s="500" t="s">
        <v>806</v>
      </c>
      <c r="E80" s="18">
        <v>4</v>
      </c>
      <c r="F80" s="18"/>
      <c r="G80" s="717" t="str">
        <f t="shared" si="172"/>
        <v>042894L</v>
      </c>
      <c r="H80" s="847"/>
      <c r="I80" t="s">
        <v>110</v>
      </c>
      <c r="J80" t="s">
        <v>108</v>
      </c>
      <c r="K80" s="57">
        <v>20000</v>
      </c>
      <c r="L80" s="91">
        <v>615</v>
      </c>
      <c r="M80" s="67">
        <f t="shared" si="179"/>
        <v>0</v>
      </c>
      <c r="N80" s="67">
        <f t="shared" si="179"/>
        <v>0</v>
      </c>
      <c r="O80" s="67">
        <f t="shared" si="179"/>
        <v>0</v>
      </c>
      <c r="P80" s="67">
        <f t="shared" si="179"/>
        <v>81</v>
      </c>
      <c r="Q80" s="67">
        <f t="shared" si="179"/>
        <v>0</v>
      </c>
      <c r="R80" s="444">
        <f>IF(SUM(M80:Q80)&gt;0,0,1)</f>
        <v>0</v>
      </c>
      <c r="S80" s="470">
        <v>0</v>
      </c>
      <c r="T80" s="470">
        <v>0</v>
      </c>
      <c r="U80" s="470">
        <v>0</v>
      </c>
      <c r="V80" s="470">
        <v>17.57</v>
      </c>
      <c r="W80" s="470">
        <v>0</v>
      </c>
      <c r="X80"/>
      <c r="Y80" s="68">
        <f>IF(AND(M80&lt;&gt;0,S80=0),#VALUE!,M80*S80)</f>
        <v>0</v>
      </c>
      <c r="Z80" s="68">
        <f>IF(AND(N80&lt;&gt;0,T80=0),#VALUE!,N80*T80)</f>
        <v>0</v>
      </c>
      <c r="AA80" s="68">
        <f>IF(AND(O80&lt;&gt;0,U80=0),#VALUE!,O80*U80)</f>
        <v>0</v>
      </c>
      <c r="AB80" s="68">
        <f>IF(AND(P80&lt;&gt;0,V80=0),#VALUE!,P80*V80)</f>
        <v>1423.17</v>
      </c>
      <c r="AC80" s="68">
        <f>IF(AND(Q80&lt;&gt;0,W80=0),#VALUE!,Q80*W80)</f>
        <v>0</v>
      </c>
      <c r="AD80"/>
      <c r="AE80" s="67">
        <f t="shared" si="193"/>
        <v>0</v>
      </c>
      <c r="AF80" s="67">
        <f t="shared" si="193"/>
        <v>0</v>
      </c>
      <c r="AG80" s="67">
        <f t="shared" si="193"/>
        <v>0</v>
      </c>
      <c r="AH80" s="67">
        <f t="shared" si="193"/>
        <v>81</v>
      </c>
      <c r="AI80" s="67">
        <f t="shared" si="193"/>
        <v>0</v>
      </c>
      <c r="AJ80"/>
      <c r="AK80" s="449">
        <f t="shared" si="163"/>
        <v>0</v>
      </c>
      <c r="AL80" s="449">
        <f t="shared" si="194"/>
        <v>0</v>
      </c>
      <c r="AM80" s="449">
        <f t="shared" si="164"/>
        <v>0</v>
      </c>
      <c r="AN80" s="449">
        <f t="shared" si="165"/>
        <v>19.489999999999998</v>
      </c>
      <c r="AO80" s="449">
        <f t="shared" si="166"/>
        <v>0</v>
      </c>
      <c r="AP80"/>
      <c r="AQ80" s="68">
        <f t="shared" ref="AQ80:AQ88" si="196">IF(AND(AE80&lt;&gt;0,AK80=0),#VALUE!,AE80*AK80)</f>
        <v>0</v>
      </c>
      <c r="AR80" s="68">
        <f>IF(AND(AF80&lt;&gt;0,AL80=0),#VALUE!,AF80*AL80)</f>
        <v>0</v>
      </c>
      <c r="AS80" s="68">
        <f t="shared" ref="AS80:AS88" si="197">IF(AND(AG80&lt;&gt;0,AM80=0),#VALUE!,AG80*AM80)</f>
        <v>0</v>
      </c>
      <c r="AT80" s="68">
        <f t="shared" ref="AT80:AT88" si="198">IF(AND(AH80&lt;&gt;0,AN80=0),#VALUE!,AH80*AN80)</f>
        <v>1578.6899999999998</v>
      </c>
      <c r="AU80" s="68">
        <f t="shared" ref="AU80:AU88" si="199">IF(AND(AI80&lt;&gt;0,AO80=0),#VALUE!,AI80*AO80)</f>
        <v>0</v>
      </c>
      <c r="AV80" s="68">
        <f t="shared" ref="AV80:AV88" si="200">SUM(AR80)-SUM(Z80)</f>
        <v>0</v>
      </c>
      <c r="AW80" s="400" t="e">
        <f t="shared" ref="AW80:AW88" si="201">AV80/Z80</f>
        <v>#DIV/0!</v>
      </c>
      <c r="AX80" s="392">
        <v>182</v>
      </c>
      <c r="AY80" s="446"/>
      <c r="AZ80" s="446"/>
      <c r="BA80" s="446"/>
      <c r="BB80" s="446">
        <v>16.16</v>
      </c>
      <c r="BC80" s="446"/>
      <c r="BD80" s="131"/>
      <c r="BE80" s="452">
        <f t="shared" ref="BE80:BE88" si="202">ROUND(AX80*$BE$2,2)+ROUND(AX80*$BE$1,2)</f>
        <v>0.41000000000000014</v>
      </c>
      <c r="BF80" s="52"/>
      <c r="BG80" s="52"/>
      <c r="BH80" s="52"/>
      <c r="BI80" s="52">
        <f>ROUND((V80*$BF$2)+$BE80-BB80,2)</f>
        <v>2.09</v>
      </c>
      <c r="BJ80" s="52"/>
      <c r="BK80"/>
      <c r="BL80"/>
      <c r="BM80" s="450">
        <f t="shared" si="173"/>
        <v>0</v>
      </c>
      <c r="BN80" s="450">
        <f t="shared" si="173"/>
        <v>0</v>
      </c>
      <c r="BO80" s="450">
        <f t="shared" si="173"/>
        <v>0</v>
      </c>
      <c r="BP80" s="450">
        <f t="shared" si="173"/>
        <v>19.784298999999997</v>
      </c>
      <c r="BQ80" s="450">
        <f t="shared" si="175"/>
        <v>0</v>
      </c>
      <c r="BR80"/>
      <c r="BS80" s="442">
        <f t="shared" si="158"/>
        <v>0</v>
      </c>
      <c r="BT80" s="52">
        <f>BN80-AZ80</f>
        <v>0</v>
      </c>
      <c r="BU80" s="52">
        <f>BO80-BA80</f>
        <v>0</v>
      </c>
      <c r="BV80" s="52">
        <f>BP80-BB80</f>
        <v>3.6242989999999971</v>
      </c>
      <c r="BW80" s="52">
        <f>BQ80-BC80</f>
        <v>0</v>
      </c>
    </row>
    <row r="81" spans="1:172">
      <c r="B81" s="714"/>
      <c r="C81" s="714"/>
      <c r="D81" s="714"/>
      <c r="E81" s="849">
        <f>SUM(E13:E80)</f>
        <v>22777</v>
      </c>
      <c r="F81" s="850"/>
      <c r="G81" s="717" t="str">
        <f t="shared" ref="G81:G97" si="203">IF(OR(ISBLANK(C81),ISBLANK(D81)),"",TEXT(C81,"000")&amp;TEXT(D81,"000"))</f>
        <v/>
      </c>
      <c r="H81" s="271"/>
      <c r="I81" s="546" t="s">
        <v>110</v>
      </c>
      <c r="J81" s="380" t="s">
        <v>736</v>
      </c>
      <c r="K81" s="443">
        <v>20000</v>
      </c>
      <c r="L81" s="445">
        <v>618</v>
      </c>
      <c r="M81" s="444">
        <f t="shared" si="179"/>
        <v>0</v>
      </c>
      <c r="N81" s="444">
        <f t="shared" si="179"/>
        <v>0</v>
      </c>
      <c r="O81" s="444">
        <f t="shared" si="179"/>
        <v>0</v>
      </c>
      <c r="P81" s="444">
        <f t="shared" si="179"/>
        <v>81</v>
      </c>
      <c r="Q81" s="444">
        <f t="shared" si="179"/>
        <v>0</v>
      </c>
      <c r="R81" s="444">
        <f t="shared" ref="R81" si="204">IF(SUM(M81:Q81)&gt;0,0,1)</f>
        <v>0</v>
      </c>
      <c r="S81" s="470">
        <v>0</v>
      </c>
      <c r="T81" s="470">
        <v>0</v>
      </c>
      <c r="U81" s="470">
        <v>0</v>
      </c>
      <c r="V81" s="487">
        <v>10.39</v>
      </c>
      <c r="W81" s="470">
        <v>0</v>
      </c>
      <c r="X81" s="546"/>
      <c r="Y81" s="68">
        <f t="shared" ref="Y81" si="205">IF(AND(M81&lt;&gt;0,S81=0),#VALUE!,M81*S81)</f>
        <v>0</v>
      </c>
      <c r="Z81" s="68">
        <f t="shared" ref="Z81" si="206">IF(AND(N81&lt;&gt;0,T81=0),#VALUE!,N81*T81)</f>
        <v>0</v>
      </c>
      <c r="AA81" s="68">
        <f t="shared" ref="AA81" si="207">IF(AND(O81&lt;&gt;0,U81=0),#VALUE!,O81*U81)</f>
        <v>0</v>
      </c>
      <c r="AB81" s="68">
        <f t="shared" ref="AB81" si="208">IF(AND(P81&lt;&gt;0,V81=0),#VALUE!,P81*V81)</f>
        <v>841.59</v>
      </c>
      <c r="AC81" s="68">
        <f t="shared" ref="AC81" si="209">IF(AND(Q81&lt;&gt;0,W81=0),#VALUE!,Q81*W81)</f>
        <v>0</v>
      </c>
      <c r="AD81" s="546"/>
      <c r="AE81" s="444">
        <f t="shared" ref="AE81" si="210">M81</f>
        <v>0</v>
      </c>
      <c r="AF81" s="444">
        <f t="shared" ref="AF81" si="211">N81</f>
        <v>0</v>
      </c>
      <c r="AG81" s="444">
        <f t="shared" ref="AG81" si="212">O81</f>
        <v>0</v>
      </c>
      <c r="AH81" s="444">
        <f t="shared" ref="AH81" si="213">P81</f>
        <v>81</v>
      </c>
      <c r="AI81" s="444">
        <f t="shared" ref="AI81" si="214">Q81</f>
        <v>0</v>
      </c>
      <c r="AJ81" s="546"/>
      <c r="AK81" s="449">
        <f t="shared" si="163"/>
        <v>0</v>
      </c>
      <c r="AL81" s="449">
        <f t="shared" si="194"/>
        <v>0</v>
      </c>
      <c r="AM81" s="449">
        <f t="shared" si="164"/>
        <v>0</v>
      </c>
      <c r="AN81" s="449">
        <f t="shared" si="165"/>
        <v>11.53</v>
      </c>
      <c r="AO81" s="449">
        <f t="shared" si="166"/>
        <v>0</v>
      </c>
      <c r="AP81" s="546"/>
      <c r="AQ81" s="68">
        <f t="shared" ref="AQ81" si="215">IF(AND(AE81&lt;&gt;0,AK81=0),#VALUE!,AE81*AK81)</f>
        <v>0</v>
      </c>
      <c r="AR81" s="68">
        <f t="shared" ref="AR81" si="216">IF(AND(AF81&lt;&gt;0,AL81=0),#VALUE!,AF81*AL81)</f>
        <v>0</v>
      </c>
      <c r="AS81" s="68">
        <f t="shared" ref="AS81" si="217">IF(AND(AG81&lt;&gt;0,AM81=0),#VALUE!,AG81*AM81)</f>
        <v>0</v>
      </c>
      <c r="AT81" s="68">
        <f t="shared" ref="AT81" si="218">IF(AND(AH81&lt;&gt;0,AN81=0),#VALUE!,AH81*AN81)</f>
        <v>933.93</v>
      </c>
      <c r="AU81" s="68">
        <f t="shared" ref="AU81" si="219">IF(AND(AI81&lt;&gt;0,AO81=0),#VALUE!,AI81*AO81)</f>
        <v>0</v>
      </c>
      <c r="AV81" s="68">
        <f t="shared" si="200"/>
        <v>0</v>
      </c>
      <c r="AW81" s="400" t="e">
        <f t="shared" si="201"/>
        <v>#DIV/0!</v>
      </c>
      <c r="AX81" s="454">
        <v>124</v>
      </c>
      <c r="AY81" s="446"/>
      <c r="AZ81" s="446"/>
      <c r="BA81" s="446"/>
      <c r="BB81" s="446">
        <v>9.7799999999999994</v>
      </c>
      <c r="BC81" s="446"/>
      <c r="BD81" s="446"/>
      <c r="BE81" s="452">
        <f t="shared" ref="BE81" si="220">ROUND(AX81*$BE$2,2)+ROUND(AX81*$BE$1,2)</f>
        <v>0.28000000000000003</v>
      </c>
      <c r="BF81" s="442"/>
      <c r="BG81" s="442"/>
      <c r="BH81" s="442"/>
      <c r="BI81" s="442">
        <f>ROUND((V81*$BF$2)+$BE81-BB81,2)</f>
        <v>1.05</v>
      </c>
      <c r="BJ81" s="442"/>
      <c r="BK81" s="546"/>
      <c r="BL81" s="546"/>
      <c r="BM81" s="450">
        <f t="shared" si="173"/>
        <v>0</v>
      </c>
      <c r="BN81" s="450">
        <f t="shared" si="173"/>
        <v>0</v>
      </c>
      <c r="BO81" s="450">
        <f t="shared" si="173"/>
        <v>0</v>
      </c>
      <c r="BP81" s="450">
        <f t="shared" si="173"/>
        <v>11.704102999999998</v>
      </c>
      <c r="BQ81" s="450">
        <f t="shared" si="175"/>
        <v>0</v>
      </c>
      <c r="BR81" s="546"/>
      <c r="BS81" s="442">
        <f t="shared" si="158"/>
        <v>0</v>
      </c>
      <c r="BT81" s="442">
        <f t="shared" ref="BT81" si="221">BN81-AZ81</f>
        <v>0</v>
      </c>
      <c r="BU81" s="442">
        <f t="shared" ref="BU81" si="222">BO81-BA81</f>
        <v>0</v>
      </c>
      <c r="BV81" s="442">
        <f t="shared" ref="BV81" si="223">BP81-BB81</f>
        <v>1.9241029999999988</v>
      </c>
      <c r="BW81" s="442">
        <f t="shared" ref="BW81" si="224">BQ81-BC81</f>
        <v>0</v>
      </c>
      <c r="DT81" s="505"/>
    </row>
    <row r="82" spans="1:172">
      <c r="B82" s="714"/>
      <c r="C82" s="714"/>
      <c r="D82" s="714"/>
      <c r="E82" s="717"/>
      <c r="F82" s="717"/>
      <c r="G82" s="717" t="str">
        <f t="shared" si="203"/>
        <v/>
      </c>
      <c r="H82" s="847"/>
      <c r="I82" t="s">
        <v>105</v>
      </c>
      <c r="J82" t="s">
        <v>673</v>
      </c>
      <c r="K82" s="57" t="s">
        <v>120</v>
      </c>
      <c r="L82" s="91">
        <v>631</v>
      </c>
      <c r="M82" s="67">
        <f t="shared" si="179"/>
        <v>0</v>
      </c>
      <c r="N82" s="67">
        <f t="shared" si="179"/>
        <v>37</v>
      </c>
      <c r="O82" s="67">
        <f t="shared" si="179"/>
        <v>0</v>
      </c>
      <c r="P82" s="67">
        <f t="shared" si="179"/>
        <v>0</v>
      </c>
      <c r="Q82" s="67">
        <f t="shared" si="179"/>
        <v>0</v>
      </c>
      <c r="R82" s="444">
        <f t="shared" ref="R82:R98" si="225">IF(SUM(M82:Q82)&gt;0,0,1)</f>
        <v>0</v>
      </c>
      <c r="S82" s="470">
        <v>0</v>
      </c>
      <c r="T82" s="470">
        <v>27.56</v>
      </c>
      <c r="U82" s="470">
        <v>0</v>
      </c>
      <c r="V82" s="470">
        <v>0</v>
      </c>
      <c r="W82" s="470">
        <v>0</v>
      </c>
      <c r="Y82" s="68">
        <f t="shared" ref="Y82:AC89" si="226">IF(AND(M82&lt;&gt;0,S82=0),#VALUE!,M82*S82)</f>
        <v>0</v>
      </c>
      <c r="Z82" s="68">
        <f t="shared" si="226"/>
        <v>1019.7199999999999</v>
      </c>
      <c r="AA82" s="68">
        <f t="shared" si="226"/>
        <v>0</v>
      </c>
      <c r="AB82" s="68">
        <f t="shared" si="226"/>
        <v>0</v>
      </c>
      <c r="AC82" s="68">
        <f t="shared" si="226"/>
        <v>0</v>
      </c>
      <c r="AE82" s="67">
        <f t="shared" ref="AE82:AI89" si="227">M82</f>
        <v>0</v>
      </c>
      <c r="AF82" s="67">
        <f t="shared" si="227"/>
        <v>37</v>
      </c>
      <c r="AG82" s="67">
        <f t="shared" si="227"/>
        <v>0</v>
      </c>
      <c r="AH82" s="67">
        <f t="shared" si="227"/>
        <v>0</v>
      </c>
      <c r="AI82" s="67">
        <f t="shared" si="227"/>
        <v>0</v>
      </c>
      <c r="AK82" s="449">
        <f t="shared" si="163"/>
        <v>0</v>
      </c>
      <c r="AL82" s="449">
        <f t="shared" si="194"/>
        <v>30.38</v>
      </c>
      <c r="AM82" s="483">
        <f t="shared" si="164"/>
        <v>0</v>
      </c>
      <c r="AN82" s="449">
        <f t="shared" si="165"/>
        <v>0</v>
      </c>
      <c r="AO82" s="449">
        <f t="shared" si="166"/>
        <v>0</v>
      </c>
      <c r="AQ82" s="68">
        <f t="shared" si="196"/>
        <v>0</v>
      </c>
      <c r="AR82" s="68">
        <f t="shared" ref="AR82:AR95" si="228">IF(AND(AF82&lt;&gt;0,AL82=0),#VALUE!,AF82*AL82)</f>
        <v>1124.06</v>
      </c>
      <c r="AS82" s="68">
        <f t="shared" si="197"/>
        <v>0</v>
      </c>
      <c r="AT82" s="68">
        <f t="shared" si="198"/>
        <v>0</v>
      </c>
      <c r="AU82" s="68">
        <f t="shared" si="199"/>
        <v>0</v>
      </c>
      <c r="AV82" s="68">
        <f t="shared" si="200"/>
        <v>104.34000000000003</v>
      </c>
      <c r="AW82" s="400">
        <f t="shared" si="201"/>
        <v>0.10232220609579104</v>
      </c>
      <c r="AX82" s="392">
        <v>107</v>
      </c>
      <c r="AY82" s="446"/>
      <c r="AZ82" s="446">
        <v>25.682029999999997</v>
      </c>
      <c r="BA82" s="446">
        <v>14.729100999999998</v>
      </c>
      <c r="BB82" s="446"/>
      <c r="BC82" s="446"/>
      <c r="BD82" s="131"/>
      <c r="BE82" s="452">
        <f t="shared" si="202"/>
        <v>0.22999999999999998</v>
      </c>
      <c r="BF82" s="52"/>
      <c r="BG82" s="52">
        <f>ROUND((T82*$BF$2)+$BE82-AZ82,2)</f>
        <v>2.52</v>
      </c>
      <c r="BH82" s="52">
        <f>ROUND((U82*$BF$2)+$BE82-BA82,2)</f>
        <v>-14.5</v>
      </c>
      <c r="BI82" s="52"/>
      <c r="BJ82" s="52"/>
      <c r="BM82" s="450">
        <f t="shared" si="173"/>
        <v>0</v>
      </c>
      <c r="BN82" s="450">
        <f t="shared" si="173"/>
        <v>30.838737999999996</v>
      </c>
      <c r="BO82" s="450">
        <f t="shared" si="173"/>
        <v>0</v>
      </c>
      <c r="BP82" s="450">
        <f t="shared" si="173"/>
        <v>0</v>
      </c>
      <c r="BQ82" s="450">
        <f t="shared" si="175"/>
        <v>0</v>
      </c>
      <c r="BS82" s="442">
        <f t="shared" si="158"/>
        <v>0</v>
      </c>
      <c r="BT82" s="52">
        <f t="shared" ref="BT82:BW89" si="229">BN82-AZ82</f>
        <v>5.1567079999999983</v>
      </c>
      <c r="BU82" s="52">
        <f t="shared" si="229"/>
        <v>-14.729100999999998</v>
      </c>
      <c r="BV82" s="52">
        <f t="shared" si="229"/>
        <v>0</v>
      </c>
      <c r="BW82" s="52">
        <f t="shared" si="229"/>
        <v>0</v>
      </c>
      <c r="CU82" s="486"/>
      <c r="CV82" s="486"/>
      <c r="CW82" s="486"/>
      <c r="CX82" s="486"/>
      <c r="CY82" s="486"/>
      <c r="CZ82" s="486"/>
      <c r="DA82" s="486"/>
      <c r="DB82" s="486"/>
      <c r="DC82" s="486"/>
      <c r="DD82" s="486"/>
      <c r="DH82" s="486"/>
      <c r="DI82" s="486"/>
      <c r="DJ82" s="486"/>
      <c r="DK82" s="486"/>
      <c r="DL82" s="486"/>
    </row>
    <row r="83" spans="1:172">
      <c r="B83" s="714">
        <v>2</v>
      </c>
      <c r="C83" s="715" t="s">
        <v>98</v>
      </c>
      <c r="D83" s="714">
        <v>431</v>
      </c>
      <c r="E83" s="716">
        <v>1</v>
      </c>
      <c r="F83" s="717"/>
      <c r="G83" s="717" t="str">
        <f t="shared" si="203"/>
        <v>044431</v>
      </c>
      <c r="H83" s="271"/>
      <c r="I83" t="s">
        <v>105</v>
      </c>
      <c r="J83" t="s">
        <v>87</v>
      </c>
      <c r="K83" s="57" t="s">
        <v>120</v>
      </c>
      <c r="L83" s="91">
        <v>633</v>
      </c>
      <c r="M83" s="67">
        <f t="shared" si="179"/>
        <v>0</v>
      </c>
      <c r="N83" s="67">
        <f t="shared" si="179"/>
        <v>33</v>
      </c>
      <c r="O83" s="67">
        <f t="shared" si="179"/>
        <v>0</v>
      </c>
      <c r="P83" s="67">
        <f t="shared" si="179"/>
        <v>0</v>
      </c>
      <c r="Q83" s="67">
        <f t="shared" si="179"/>
        <v>0</v>
      </c>
      <c r="R83" s="444">
        <f t="shared" si="225"/>
        <v>0</v>
      </c>
      <c r="S83" s="470">
        <v>0</v>
      </c>
      <c r="T83" s="470">
        <v>45.64</v>
      </c>
      <c r="U83" s="470">
        <v>0</v>
      </c>
      <c r="V83" s="470">
        <v>0</v>
      </c>
      <c r="W83" s="470">
        <v>0</v>
      </c>
      <c r="Y83" s="68">
        <f t="shared" si="226"/>
        <v>0</v>
      </c>
      <c r="Z83" s="68">
        <f t="shared" si="226"/>
        <v>1506.1200000000001</v>
      </c>
      <c r="AA83" s="68">
        <f t="shared" si="226"/>
        <v>0</v>
      </c>
      <c r="AB83" s="68">
        <f t="shared" si="226"/>
        <v>0</v>
      </c>
      <c r="AC83" s="68">
        <f t="shared" si="226"/>
        <v>0</v>
      </c>
      <c r="AE83" s="67">
        <f t="shared" si="227"/>
        <v>0</v>
      </c>
      <c r="AF83" s="67">
        <f t="shared" si="227"/>
        <v>33</v>
      </c>
      <c r="AG83" s="67">
        <f t="shared" si="227"/>
        <v>0</v>
      </c>
      <c r="AH83" s="67">
        <f t="shared" si="227"/>
        <v>0</v>
      </c>
      <c r="AI83" s="67">
        <f t="shared" si="227"/>
        <v>0</v>
      </c>
      <c r="AK83" s="449">
        <f t="shared" si="163"/>
        <v>0</v>
      </c>
      <c r="AL83" s="449">
        <f t="shared" si="194"/>
        <v>50.31</v>
      </c>
      <c r="AM83" s="483">
        <f t="shared" si="164"/>
        <v>0</v>
      </c>
      <c r="AN83" s="449">
        <f t="shared" si="165"/>
        <v>0</v>
      </c>
      <c r="AO83" s="449">
        <f t="shared" si="166"/>
        <v>0</v>
      </c>
      <c r="AQ83" s="68">
        <f t="shared" si="196"/>
        <v>0</v>
      </c>
      <c r="AR83" s="68">
        <f t="shared" si="228"/>
        <v>1660.23</v>
      </c>
      <c r="AS83" s="68">
        <f t="shared" si="197"/>
        <v>0</v>
      </c>
      <c r="AT83" s="68">
        <f t="shared" si="198"/>
        <v>0</v>
      </c>
      <c r="AU83" s="68">
        <f t="shared" si="199"/>
        <v>0</v>
      </c>
      <c r="AV83" s="68">
        <f t="shared" si="200"/>
        <v>154.1099999999999</v>
      </c>
      <c r="AW83" s="400">
        <f t="shared" si="201"/>
        <v>0.10232252410166513</v>
      </c>
      <c r="AX83" s="392">
        <v>107</v>
      </c>
      <c r="AY83" s="446"/>
      <c r="AZ83" s="446">
        <v>42.512388000000001</v>
      </c>
      <c r="BA83" s="446">
        <v>14.729100999999998</v>
      </c>
      <c r="BB83" s="446"/>
      <c r="BC83" s="446"/>
      <c r="BD83" s="131"/>
      <c r="BE83" s="452">
        <f t="shared" si="202"/>
        <v>0.22999999999999998</v>
      </c>
      <c r="BF83" s="52"/>
      <c r="BG83" s="52">
        <f>ROUND((T83*$BF$2)+$BE83-AZ83,2)</f>
        <v>4.05</v>
      </c>
      <c r="BH83" s="52">
        <f>ROUND((U83*$BF$2)+$BE83-BA83,2)</f>
        <v>-14.5</v>
      </c>
      <c r="BI83" s="52"/>
      <c r="BJ83" s="52"/>
      <c r="BM83" s="450">
        <f t="shared" si="173"/>
        <v>0</v>
      </c>
      <c r="BN83" s="450">
        <f t="shared" si="173"/>
        <v>51.069680999999996</v>
      </c>
      <c r="BO83" s="450">
        <f t="shared" si="173"/>
        <v>0</v>
      </c>
      <c r="BP83" s="450">
        <f t="shared" si="173"/>
        <v>0</v>
      </c>
      <c r="BQ83" s="450">
        <f t="shared" si="175"/>
        <v>0</v>
      </c>
      <c r="BS83" s="442">
        <f t="shared" si="158"/>
        <v>0</v>
      </c>
      <c r="BT83" s="52">
        <f t="shared" si="229"/>
        <v>8.5572929999999943</v>
      </c>
      <c r="BU83" s="52">
        <f t="shared" si="229"/>
        <v>-14.729100999999998</v>
      </c>
      <c r="BV83" s="52">
        <f t="shared" si="229"/>
        <v>0</v>
      </c>
      <c r="BW83" s="52">
        <f t="shared" si="229"/>
        <v>0</v>
      </c>
      <c r="BX83" s="546"/>
      <c r="BY83" s="546"/>
      <c r="BZ83" s="546"/>
      <c r="CA83" s="546"/>
      <c r="CB83" s="546"/>
      <c r="CC83" s="546"/>
      <c r="CD83" s="546"/>
      <c r="CE83" s="546"/>
      <c r="CF83" s="546"/>
      <c r="CG83" s="546"/>
      <c r="CH83" s="546"/>
      <c r="CI83" s="546"/>
      <c r="CJ83" s="546"/>
      <c r="CK83" s="546"/>
      <c r="CL83" s="546"/>
      <c r="CM83" s="546"/>
      <c r="CN83" s="546"/>
      <c r="CO83" s="546"/>
      <c r="CP83" s="546"/>
      <c r="CQ83" s="546"/>
      <c r="CR83" s="546"/>
      <c r="CS83" s="546"/>
      <c r="CT83" s="546"/>
    </row>
    <row r="84" spans="1:172">
      <c r="B84" s="714">
        <v>2</v>
      </c>
      <c r="C84" s="715" t="s">
        <v>98</v>
      </c>
      <c r="D84" s="714">
        <v>432</v>
      </c>
      <c r="E84" s="716">
        <v>4</v>
      </c>
      <c r="F84" s="717"/>
      <c r="G84" s="717" t="str">
        <f t="shared" si="203"/>
        <v>044432</v>
      </c>
      <c r="H84" s="271"/>
      <c r="I84" t="s">
        <v>105</v>
      </c>
      <c r="J84" t="s">
        <v>121</v>
      </c>
      <c r="K84" s="57" t="s">
        <v>120</v>
      </c>
      <c r="L84" s="91">
        <v>635</v>
      </c>
      <c r="M84" s="67">
        <f t="shared" ref="M84:Q98" si="230">SUMIF($G:$G,TEXT(M$3,"000")&amp;TEXT($L84,"000"),$E:$E)</f>
        <v>0</v>
      </c>
      <c r="N84" s="67">
        <f t="shared" si="230"/>
        <v>0</v>
      </c>
      <c r="O84" s="67">
        <f t="shared" si="230"/>
        <v>13</v>
      </c>
      <c r="P84" s="67">
        <f t="shared" si="230"/>
        <v>0</v>
      </c>
      <c r="Q84" s="67">
        <f t="shared" si="230"/>
        <v>220</v>
      </c>
      <c r="R84" s="444">
        <f t="shared" si="225"/>
        <v>0</v>
      </c>
      <c r="S84" s="470">
        <v>0</v>
      </c>
      <c r="T84" s="470">
        <v>0</v>
      </c>
      <c r="U84" s="470">
        <v>16</v>
      </c>
      <c r="V84" s="470">
        <v>0</v>
      </c>
      <c r="W84" s="470">
        <v>13.1</v>
      </c>
      <c r="Y84" s="68">
        <f t="shared" si="226"/>
        <v>0</v>
      </c>
      <c r="Z84" s="696">
        <f t="shared" si="226"/>
        <v>0</v>
      </c>
      <c r="AA84" s="68">
        <f t="shared" si="226"/>
        <v>208</v>
      </c>
      <c r="AB84" s="68">
        <f t="shared" si="226"/>
        <v>0</v>
      </c>
      <c r="AC84" s="68">
        <f t="shared" si="226"/>
        <v>2882</v>
      </c>
      <c r="AE84" s="67">
        <f t="shared" si="227"/>
        <v>0</v>
      </c>
      <c r="AF84" s="67">
        <f t="shared" si="227"/>
        <v>0</v>
      </c>
      <c r="AG84" s="67">
        <f t="shared" si="227"/>
        <v>13</v>
      </c>
      <c r="AH84" s="67">
        <f t="shared" si="227"/>
        <v>0</v>
      </c>
      <c r="AI84" s="67">
        <f t="shared" si="227"/>
        <v>220</v>
      </c>
      <c r="AK84" s="449">
        <f t="shared" si="163"/>
        <v>0</v>
      </c>
      <c r="AL84" s="449">
        <f t="shared" si="194"/>
        <v>0</v>
      </c>
      <c r="AM84" s="449">
        <f t="shared" si="164"/>
        <v>17.75</v>
      </c>
      <c r="AN84" s="449">
        <f t="shared" si="165"/>
        <v>0</v>
      </c>
      <c r="AO84" s="449">
        <f t="shared" si="166"/>
        <v>14.53</v>
      </c>
      <c r="AQ84" s="68">
        <f t="shared" si="196"/>
        <v>0</v>
      </c>
      <c r="AR84" s="68">
        <f t="shared" si="228"/>
        <v>0</v>
      </c>
      <c r="AS84" s="68">
        <f t="shared" si="197"/>
        <v>230.75</v>
      </c>
      <c r="AT84" s="68">
        <f t="shared" si="198"/>
        <v>0</v>
      </c>
      <c r="AU84" s="68">
        <f t="shared" si="199"/>
        <v>3196.6</v>
      </c>
      <c r="AV84" s="68">
        <f t="shared" si="200"/>
        <v>0</v>
      </c>
      <c r="AW84" s="400" t="e">
        <f t="shared" si="201"/>
        <v>#DIV/0!</v>
      </c>
      <c r="AX84" s="392">
        <v>107</v>
      </c>
      <c r="AY84" s="446"/>
      <c r="AZ84" s="446"/>
      <c r="BA84" s="446">
        <v>14.729100999999998</v>
      </c>
      <c r="BB84" s="446"/>
      <c r="BC84" s="446">
        <v>12.049236999999998</v>
      </c>
      <c r="BD84" s="131"/>
      <c r="BE84" s="452">
        <f t="shared" si="202"/>
        <v>0.22999999999999998</v>
      </c>
      <c r="BF84" s="52"/>
      <c r="BG84" s="52"/>
      <c r="BH84" s="52">
        <f>ROUND((U84*$BF$2)+$BE84-BA84,2)</f>
        <v>1.74</v>
      </c>
      <c r="BI84" s="52"/>
      <c r="BJ84" s="52">
        <f>ROUND((W84*$BF$2)+$BE84-BC84,2)</f>
        <v>1.48</v>
      </c>
      <c r="BM84" s="450">
        <f t="shared" si="173"/>
        <v>0</v>
      </c>
      <c r="BN84" s="450">
        <f t="shared" si="173"/>
        <v>0</v>
      </c>
      <c r="BO84" s="450">
        <f t="shared" si="173"/>
        <v>18.018024999999998</v>
      </c>
      <c r="BP84" s="450">
        <f t="shared" si="173"/>
        <v>0</v>
      </c>
      <c r="BQ84" s="450">
        <f t="shared" si="175"/>
        <v>14.749402999999997</v>
      </c>
      <c r="BS84" s="442">
        <f t="shared" si="158"/>
        <v>0</v>
      </c>
      <c r="BT84" s="52">
        <f t="shared" si="229"/>
        <v>0</v>
      </c>
      <c r="BU84" s="52">
        <f t="shared" si="229"/>
        <v>3.2889239999999997</v>
      </c>
      <c r="BV84" s="52">
        <f t="shared" si="229"/>
        <v>0</v>
      </c>
      <c r="BW84" s="52">
        <f t="shared" si="229"/>
        <v>2.7001659999999994</v>
      </c>
      <c r="DC84" s="486"/>
      <c r="DD84" s="486"/>
      <c r="DE84" s="486"/>
      <c r="DF84" s="486"/>
      <c r="DG84" s="486"/>
    </row>
    <row r="85" spans="1:172">
      <c r="B85" s="714">
        <v>2</v>
      </c>
      <c r="C85" s="715" t="s">
        <v>98</v>
      </c>
      <c r="D85" s="714">
        <v>433</v>
      </c>
      <c r="E85" s="716">
        <v>10</v>
      </c>
      <c r="F85" s="717"/>
      <c r="G85" s="717" t="str">
        <f t="shared" si="203"/>
        <v>044433</v>
      </c>
      <c r="H85" s="271"/>
      <c r="I85" t="s">
        <v>105</v>
      </c>
      <c r="J85" t="s">
        <v>113</v>
      </c>
      <c r="K85" s="57" t="s">
        <v>120</v>
      </c>
      <c r="L85" s="91">
        <v>636</v>
      </c>
      <c r="M85" s="67">
        <f t="shared" si="230"/>
        <v>0</v>
      </c>
      <c r="N85" s="67">
        <f t="shared" si="230"/>
        <v>2</v>
      </c>
      <c r="O85" s="67">
        <f t="shared" si="230"/>
        <v>0</v>
      </c>
      <c r="P85" s="67">
        <f t="shared" si="230"/>
        <v>0</v>
      </c>
      <c r="Q85" s="67">
        <f t="shared" si="230"/>
        <v>0</v>
      </c>
      <c r="R85" s="444">
        <f t="shared" si="225"/>
        <v>0</v>
      </c>
      <c r="S85" s="470">
        <v>0</v>
      </c>
      <c r="T85" s="470">
        <v>32.42</v>
      </c>
      <c r="U85" s="470">
        <v>0</v>
      </c>
      <c r="V85" s="470">
        <v>0</v>
      </c>
      <c r="W85" s="470">
        <v>0</v>
      </c>
      <c r="Y85" s="68">
        <f t="shared" si="226"/>
        <v>0</v>
      </c>
      <c r="Z85" s="68">
        <f t="shared" si="226"/>
        <v>64.84</v>
      </c>
      <c r="AA85" s="68">
        <f t="shared" si="226"/>
        <v>0</v>
      </c>
      <c r="AB85" s="68">
        <f t="shared" si="226"/>
        <v>0</v>
      </c>
      <c r="AC85" s="68">
        <f t="shared" si="226"/>
        <v>0</v>
      </c>
      <c r="AE85" s="67">
        <f t="shared" si="227"/>
        <v>0</v>
      </c>
      <c r="AF85" s="67">
        <f t="shared" si="227"/>
        <v>2</v>
      </c>
      <c r="AG85" s="67">
        <f t="shared" si="227"/>
        <v>0</v>
      </c>
      <c r="AH85" s="67">
        <f t="shared" si="227"/>
        <v>0</v>
      </c>
      <c r="AI85" s="67">
        <f t="shared" si="227"/>
        <v>0</v>
      </c>
      <c r="AK85" s="449">
        <f t="shared" si="163"/>
        <v>0</v>
      </c>
      <c r="AL85" s="449">
        <f t="shared" si="194"/>
        <v>35.74</v>
      </c>
      <c r="AM85" s="449">
        <f>ROUND(U85*(1+AM$1),2)</f>
        <v>0</v>
      </c>
      <c r="AN85" s="449">
        <f>ROUND(V85*(1+AN$1),2)</f>
        <v>0</v>
      </c>
      <c r="AO85" s="449">
        <f t="shared" ref="AO85:AO104" si="231">ROUND(W85*(1+AO$1),2)</f>
        <v>0</v>
      </c>
      <c r="AQ85" s="68">
        <f t="shared" si="196"/>
        <v>0</v>
      </c>
      <c r="AR85" s="68">
        <f t="shared" si="228"/>
        <v>71.48</v>
      </c>
      <c r="AS85" s="68">
        <f t="shared" si="197"/>
        <v>0</v>
      </c>
      <c r="AT85" s="68">
        <f t="shared" si="198"/>
        <v>0</v>
      </c>
      <c r="AU85" s="68">
        <f t="shared" si="199"/>
        <v>0</v>
      </c>
      <c r="AV85" s="68">
        <f t="shared" si="200"/>
        <v>6.6400000000000006</v>
      </c>
      <c r="AW85" s="400">
        <f t="shared" si="201"/>
        <v>0.10240592227020358</v>
      </c>
      <c r="AX85" s="392">
        <v>107</v>
      </c>
      <c r="AY85" s="446"/>
      <c r="AZ85" s="446">
        <v>30.199224999999998</v>
      </c>
      <c r="BA85" s="446"/>
      <c r="BB85" s="446"/>
      <c r="BC85" s="446"/>
      <c r="BD85" s="131"/>
      <c r="BE85" s="452">
        <f t="shared" si="202"/>
        <v>0.22999999999999998</v>
      </c>
      <c r="BF85" s="52"/>
      <c r="BG85" s="52">
        <f>ROUND((T85*$BF$2)+$BE85-AZ85,2)</f>
        <v>2.94</v>
      </c>
      <c r="BH85" s="52"/>
      <c r="BI85" s="52"/>
      <c r="BJ85" s="52"/>
      <c r="BM85" s="450">
        <f t="shared" si="173"/>
        <v>0</v>
      </c>
      <c r="BN85" s="450">
        <f t="shared" si="173"/>
        <v>36.279674</v>
      </c>
      <c r="BO85" s="450">
        <f t="shared" si="173"/>
        <v>0</v>
      </c>
      <c r="BP85" s="450">
        <f t="shared" si="173"/>
        <v>0</v>
      </c>
      <c r="BQ85" s="450">
        <f t="shared" si="175"/>
        <v>0</v>
      </c>
      <c r="BS85" s="442">
        <f t="shared" si="158"/>
        <v>0</v>
      </c>
      <c r="BT85" s="52">
        <f t="shared" si="229"/>
        <v>6.0804490000000015</v>
      </c>
      <c r="BU85" s="52">
        <f t="shared" si="229"/>
        <v>0</v>
      </c>
      <c r="BV85" s="52">
        <f t="shared" si="229"/>
        <v>0</v>
      </c>
      <c r="BW85" s="52">
        <f t="shared" si="229"/>
        <v>0</v>
      </c>
    </row>
    <row r="86" spans="1:172">
      <c r="B86" s="714">
        <v>2</v>
      </c>
      <c r="C86" s="715" t="s">
        <v>98</v>
      </c>
      <c r="D86" s="714">
        <v>435</v>
      </c>
      <c r="E86" s="716">
        <v>8</v>
      </c>
      <c r="F86" s="717"/>
      <c r="G86" s="717" t="str">
        <f t="shared" si="203"/>
        <v>044435</v>
      </c>
      <c r="H86" s="271"/>
      <c r="I86" t="s">
        <v>110</v>
      </c>
      <c r="J86" t="s">
        <v>108</v>
      </c>
      <c r="K86" s="57">
        <v>35000</v>
      </c>
      <c r="L86" s="91">
        <v>715</v>
      </c>
      <c r="M86" s="67">
        <f t="shared" si="230"/>
        <v>0</v>
      </c>
      <c r="N86" s="67">
        <f t="shared" si="230"/>
        <v>0</v>
      </c>
      <c r="O86" s="67">
        <f t="shared" si="230"/>
        <v>0</v>
      </c>
      <c r="P86" s="67">
        <f t="shared" si="230"/>
        <v>3</v>
      </c>
      <c r="Q86" s="67">
        <f t="shared" si="230"/>
        <v>0</v>
      </c>
      <c r="R86" s="444">
        <f t="shared" si="225"/>
        <v>0</v>
      </c>
      <c r="S86" s="470">
        <v>0</v>
      </c>
      <c r="T86" s="470">
        <v>0</v>
      </c>
      <c r="U86" s="470">
        <v>0</v>
      </c>
      <c r="V86" s="470">
        <v>28.52</v>
      </c>
      <c r="W86" s="470">
        <v>0</v>
      </c>
      <c r="Y86" s="68">
        <f t="shared" si="226"/>
        <v>0</v>
      </c>
      <c r="Z86" s="68">
        <f t="shared" si="226"/>
        <v>0</v>
      </c>
      <c r="AA86" s="68">
        <f t="shared" si="226"/>
        <v>0</v>
      </c>
      <c r="AB86" s="68">
        <f t="shared" si="226"/>
        <v>85.56</v>
      </c>
      <c r="AC86" s="68">
        <f t="shared" si="226"/>
        <v>0</v>
      </c>
      <c r="AE86" s="67">
        <f t="shared" si="227"/>
        <v>0</v>
      </c>
      <c r="AF86" s="67">
        <f t="shared" si="227"/>
        <v>0</v>
      </c>
      <c r="AG86" s="67">
        <f t="shared" si="227"/>
        <v>0</v>
      </c>
      <c r="AH86" s="67">
        <f t="shared" si="227"/>
        <v>3</v>
      </c>
      <c r="AI86" s="67">
        <f t="shared" si="227"/>
        <v>0</v>
      </c>
      <c r="AK86" s="449">
        <f t="shared" si="163"/>
        <v>0</v>
      </c>
      <c r="AL86" s="449">
        <f t="shared" si="194"/>
        <v>0</v>
      </c>
      <c r="AM86" s="449">
        <f>ROUND(U86*(1+AM$1),2)</f>
        <v>0</v>
      </c>
      <c r="AN86" s="449">
        <f>ROUND(V86*(1+AN$1),2)</f>
        <v>31.64</v>
      </c>
      <c r="AO86" s="449">
        <f t="shared" si="231"/>
        <v>0</v>
      </c>
      <c r="AQ86" s="68">
        <f t="shared" si="196"/>
        <v>0</v>
      </c>
      <c r="AR86" s="68">
        <f t="shared" si="228"/>
        <v>0</v>
      </c>
      <c r="AS86" s="68">
        <f t="shared" si="197"/>
        <v>0</v>
      </c>
      <c r="AT86" s="68">
        <f t="shared" si="198"/>
        <v>94.92</v>
      </c>
      <c r="AU86" s="68">
        <f t="shared" si="199"/>
        <v>0</v>
      </c>
      <c r="AV86" s="68">
        <f t="shared" si="200"/>
        <v>0</v>
      </c>
      <c r="AW86" s="400" t="e">
        <f t="shared" si="201"/>
        <v>#DIV/0!</v>
      </c>
      <c r="AX86" s="392">
        <v>285</v>
      </c>
      <c r="AY86" s="446"/>
      <c r="AZ86" s="446"/>
      <c r="BA86" s="446"/>
      <c r="BB86" s="446">
        <v>26.230183999999998</v>
      </c>
      <c r="BC86" s="446"/>
      <c r="BD86" s="131"/>
      <c r="BE86" s="452">
        <f t="shared" si="202"/>
        <v>0.63000000000000034</v>
      </c>
      <c r="BF86" s="52"/>
      <c r="BG86" s="52"/>
      <c r="BH86" s="52"/>
      <c r="BI86" s="52">
        <f>ROUND((V86*$BF$2)+$BE86-BB86,2)</f>
        <v>3.35</v>
      </c>
      <c r="BJ86" s="52"/>
      <c r="BM86" s="450">
        <f t="shared" si="173"/>
        <v>0</v>
      </c>
      <c r="BN86" s="450">
        <f t="shared" si="173"/>
        <v>0</v>
      </c>
      <c r="BO86" s="450">
        <f t="shared" si="173"/>
        <v>0</v>
      </c>
      <c r="BP86" s="450">
        <f t="shared" si="173"/>
        <v>32.117763999999994</v>
      </c>
      <c r="BQ86" s="450">
        <f t="shared" si="175"/>
        <v>0</v>
      </c>
      <c r="BS86" s="442">
        <f t="shared" si="158"/>
        <v>0</v>
      </c>
      <c r="BT86" s="52">
        <f t="shared" si="229"/>
        <v>0</v>
      </c>
      <c r="BU86" s="52">
        <f t="shared" si="229"/>
        <v>0</v>
      </c>
      <c r="BV86" s="52">
        <f t="shared" si="229"/>
        <v>5.8875799999999963</v>
      </c>
      <c r="BW86" s="52">
        <f t="shared" si="229"/>
        <v>0</v>
      </c>
    </row>
    <row r="87" spans="1:172">
      <c r="B87" s="714">
        <v>2</v>
      </c>
      <c r="C87" s="715" t="s">
        <v>98</v>
      </c>
      <c r="D87" s="714">
        <v>531</v>
      </c>
      <c r="E87" s="716">
        <v>0</v>
      </c>
      <c r="F87" s="717"/>
      <c r="G87" s="717" t="str">
        <f t="shared" si="203"/>
        <v>044531</v>
      </c>
      <c r="H87" s="271"/>
      <c r="I87" t="s">
        <v>105</v>
      </c>
      <c r="J87" t="s">
        <v>86</v>
      </c>
      <c r="K87" s="57" t="s">
        <v>122</v>
      </c>
      <c r="L87" s="91">
        <v>732</v>
      </c>
      <c r="M87" s="67">
        <f t="shared" si="230"/>
        <v>0</v>
      </c>
      <c r="N87" s="67">
        <f t="shared" si="230"/>
        <v>0</v>
      </c>
      <c r="O87" s="67">
        <f t="shared" si="230"/>
        <v>7</v>
      </c>
      <c r="P87" s="67">
        <f t="shared" si="230"/>
        <v>0</v>
      </c>
      <c r="Q87" s="67">
        <f t="shared" si="230"/>
        <v>0</v>
      </c>
      <c r="R87" s="444">
        <f t="shared" si="225"/>
        <v>0</v>
      </c>
      <c r="S87" s="470">
        <v>0</v>
      </c>
      <c r="T87" s="470">
        <v>0</v>
      </c>
      <c r="U87" s="470">
        <v>18.78</v>
      </c>
      <c r="V87" s="470">
        <v>0</v>
      </c>
      <c r="W87" s="470">
        <v>0</v>
      </c>
      <c r="Y87" s="68">
        <f t="shared" si="226"/>
        <v>0</v>
      </c>
      <c r="Z87" s="68">
        <f t="shared" si="226"/>
        <v>0</v>
      </c>
      <c r="AA87" s="68">
        <f t="shared" si="226"/>
        <v>131.46</v>
      </c>
      <c r="AB87" s="68">
        <f t="shared" si="226"/>
        <v>0</v>
      </c>
      <c r="AC87" s="68">
        <f t="shared" si="226"/>
        <v>0</v>
      </c>
      <c r="AE87" s="67">
        <f t="shared" si="227"/>
        <v>0</v>
      </c>
      <c r="AF87" s="67">
        <f t="shared" si="227"/>
        <v>0</v>
      </c>
      <c r="AG87" s="67">
        <f t="shared" si="227"/>
        <v>7</v>
      </c>
      <c r="AH87" s="67">
        <f t="shared" si="227"/>
        <v>0</v>
      </c>
      <c r="AI87" s="67">
        <f t="shared" si="227"/>
        <v>0</v>
      </c>
      <c r="AK87" s="449">
        <f t="shared" si="163"/>
        <v>0</v>
      </c>
      <c r="AL87" s="449">
        <f t="shared" si="194"/>
        <v>0</v>
      </c>
      <c r="AM87" s="449">
        <f>ROUND(U87*(1+AM$1),2)</f>
        <v>20.83</v>
      </c>
      <c r="AN87" s="449">
        <f t="shared" ref="AN87:AN104" si="232">ROUND(V87*(1+AN$1),2)</f>
        <v>0</v>
      </c>
      <c r="AO87" s="449">
        <f t="shared" si="231"/>
        <v>0</v>
      </c>
      <c r="AQ87" s="68">
        <f t="shared" si="196"/>
        <v>0</v>
      </c>
      <c r="AR87" s="68">
        <f t="shared" si="228"/>
        <v>0</v>
      </c>
      <c r="AS87" s="68">
        <f t="shared" si="197"/>
        <v>145.81</v>
      </c>
      <c r="AT87" s="68">
        <f t="shared" si="198"/>
        <v>0</v>
      </c>
      <c r="AU87" s="68">
        <f t="shared" si="199"/>
        <v>0</v>
      </c>
      <c r="AV87" s="68">
        <f t="shared" si="200"/>
        <v>0</v>
      </c>
      <c r="AW87" s="400" t="e">
        <f t="shared" si="201"/>
        <v>#DIV/0!</v>
      </c>
      <c r="AX87" s="392">
        <v>133</v>
      </c>
      <c r="AY87" s="446"/>
      <c r="AZ87" s="446"/>
      <c r="BA87" s="446">
        <v>17.277001999999996</v>
      </c>
      <c r="BB87" s="446"/>
      <c r="BC87" s="446"/>
      <c r="BD87" s="131"/>
      <c r="BE87" s="452">
        <f t="shared" si="202"/>
        <v>0.29000000000000004</v>
      </c>
      <c r="BF87" s="52"/>
      <c r="BG87" s="52"/>
      <c r="BH87" s="52">
        <f>ROUND((U87*$BF$2)+$BE87-BA87,2)</f>
        <v>2.08</v>
      </c>
      <c r="BI87" s="52"/>
      <c r="BJ87" s="52"/>
      <c r="BM87" s="450">
        <f t="shared" si="173"/>
        <v>0</v>
      </c>
      <c r="BN87" s="450">
        <f t="shared" si="173"/>
        <v>0</v>
      </c>
      <c r="BO87" s="450">
        <f t="shared" si="173"/>
        <v>21.144532999999996</v>
      </c>
      <c r="BP87" s="450">
        <f t="shared" si="173"/>
        <v>0</v>
      </c>
      <c r="BQ87" s="450">
        <f t="shared" si="175"/>
        <v>0</v>
      </c>
      <c r="BS87" s="442">
        <f t="shared" si="158"/>
        <v>0</v>
      </c>
      <c r="BT87" s="52">
        <f t="shared" si="229"/>
        <v>0</v>
      </c>
      <c r="BU87" s="52">
        <f t="shared" si="229"/>
        <v>3.8675309999999996</v>
      </c>
      <c r="BV87" s="52">
        <f t="shared" si="229"/>
        <v>0</v>
      </c>
      <c r="BW87" s="52">
        <f t="shared" si="229"/>
        <v>0</v>
      </c>
    </row>
    <row r="88" spans="1:172">
      <c r="B88" s="714">
        <v>2</v>
      </c>
      <c r="C88" s="715" t="s">
        <v>98</v>
      </c>
      <c r="D88" s="714">
        <v>532</v>
      </c>
      <c r="E88" s="716">
        <v>89</v>
      </c>
      <c r="F88" s="717"/>
      <c r="G88" s="717" t="str">
        <f t="shared" si="203"/>
        <v>044532</v>
      </c>
      <c r="H88" s="271"/>
      <c r="I88" t="s">
        <v>105</v>
      </c>
      <c r="J88" t="s">
        <v>112</v>
      </c>
      <c r="K88" s="57" t="s">
        <v>122</v>
      </c>
      <c r="L88" s="91">
        <v>735</v>
      </c>
      <c r="M88" s="67">
        <f t="shared" si="230"/>
        <v>0</v>
      </c>
      <c r="N88" s="67">
        <f t="shared" si="230"/>
        <v>0</v>
      </c>
      <c r="O88" s="67">
        <f t="shared" si="230"/>
        <v>1</v>
      </c>
      <c r="P88" s="67">
        <f t="shared" si="230"/>
        <v>0</v>
      </c>
      <c r="Q88" s="67">
        <f t="shared" si="230"/>
        <v>142</v>
      </c>
      <c r="R88" s="444">
        <f t="shared" si="225"/>
        <v>0</v>
      </c>
      <c r="S88" s="470">
        <v>0</v>
      </c>
      <c r="T88" s="470">
        <v>0</v>
      </c>
      <c r="U88" s="470">
        <v>18.78</v>
      </c>
      <c r="V88" s="470">
        <v>0</v>
      </c>
      <c r="W88" s="470">
        <v>15.8</v>
      </c>
      <c r="Y88" s="68">
        <f t="shared" si="226"/>
        <v>0</v>
      </c>
      <c r="Z88" s="68">
        <f t="shared" si="226"/>
        <v>0</v>
      </c>
      <c r="AA88" s="68">
        <f t="shared" si="226"/>
        <v>18.78</v>
      </c>
      <c r="AB88" s="68">
        <f t="shared" si="226"/>
        <v>0</v>
      </c>
      <c r="AC88" s="68">
        <f t="shared" si="226"/>
        <v>2243.6</v>
      </c>
      <c r="AE88" s="67">
        <f t="shared" si="227"/>
        <v>0</v>
      </c>
      <c r="AF88" s="67">
        <f t="shared" si="227"/>
        <v>0</v>
      </c>
      <c r="AG88" s="67">
        <f t="shared" si="227"/>
        <v>1</v>
      </c>
      <c r="AH88" s="67">
        <f t="shared" si="227"/>
        <v>0</v>
      </c>
      <c r="AI88" s="67">
        <f t="shared" si="227"/>
        <v>142</v>
      </c>
      <c r="AK88" s="449">
        <f t="shared" si="163"/>
        <v>0</v>
      </c>
      <c r="AL88" s="449">
        <f t="shared" si="194"/>
        <v>0</v>
      </c>
      <c r="AM88" s="449">
        <f>ROUND(U88*(1+AM$1),2)</f>
        <v>20.83</v>
      </c>
      <c r="AN88" s="449">
        <f t="shared" si="232"/>
        <v>0</v>
      </c>
      <c r="AO88" s="449">
        <f t="shared" si="231"/>
        <v>17.53</v>
      </c>
      <c r="AQ88" s="68">
        <f t="shared" si="196"/>
        <v>0</v>
      </c>
      <c r="AR88" s="68">
        <f t="shared" si="228"/>
        <v>0</v>
      </c>
      <c r="AS88" s="68">
        <f t="shared" si="197"/>
        <v>20.83</v>
      </c>
      <c r="AT88" s="68">
        <f t="shared" si="198"/>
        <v>0</v>
      </c>
      <c r="AU88" s="68">
        <f t="shared" si="199"/>
        <v>2489.2600000000002</v>
      </c>
      <c r="AV88" s="68">
        <f t="shared" si="200"/>
        <v>0</v>
      </c>
      <c r="AW88" s="400" t="e">
        <f t="shared" si="201"/>
        <v>#DIV/0!</v>
      </c>
      <c r="AX88" s="392">
        <v>133</v>
      </c>
      <c r="AY88" s="446"/>
      <c r="AZ88" s="446"/>
      <c r="BA88" s="446">
        <v>17.277001999999996</v>
      </c>
      <c r="BB88" s="446"/>
      <c r="BC88" s="446">
        <v>14.536231999999998</v>
      </c>
      <c r="BD88" s="131"/>
      <c r="BE88" s="452">
        <f t="shared" si="202"/>
        <v>0.29000000000000004</v>
      </c>
      <c r="BF88" s="52"/>
      <c r="BG88" s="52"/>
      <c r="BH88" s="52">
        <f>ROUND((U88*$BF$2)+$BE88-BA88,2)</f>
        <v>2.08</v>
      </c>
      <c r="BI88" s="52"/>
      <c r="BJ88" s="52">
        <f>ROUND((W88*$BF$2)+$BE88-BC88,2)</f>
        <v>1.79</v>
      </c>
      <c r="BM88" s="450">
        <f t="shared" si="173"/>
        <v>0</v>
      </c>
      <c r="BN88" s="450">
        <f t="shared" si="173"/>
        <v>0</v>
      </c>
      <c r="BO88" s="450">
        <f t="shared" si="173"/>
        <v>21.144532999999996</v>
      </c>
      <c r="BP88" s="450">
        <f t="shared" si="173"/>
        <v>0</v>
      </c>
      <c r="BQ88" s="450">
        <f t="shared" si="175"/>
        <v>17.794702999999998</v>
      </c>
      <c r="BS88" s="442">
        <f t="shared" si="158"/>
        <v>0</v>
      </c>
      <c r="BT88" s="52">
        <f t="shared" si="229"/>
        <v>0</v>
      </c>
      <c r="BU88" s="52">
        <f t="shared" si="229"/>
        <v>3.8675309999999996</v>
      </c>
      <c r="BV88" s="52">
        <f t="shared" si="229"/>
        <v>0</v>
      </c>
      <c r="BW88" s="52">
        <f t="shared" si="229"/>
        <v>3.2584710000000001</v>
      </c>
      <c r="DT88" s="455"/>
      <c r="DU88" s="455"/>
    </row>
    <row r="89" spans="1:172">
      <c r="B89" s="714">
        <v>2</v>
      </c>
      <c r="C89" s="715" t="s">
        <v>98</v>
      </c>
      <c r="D89" s="714">
        <v>533</v>
      </c>
      <c r="E89" s="716">
        <v>2</v>
      </c>
      <c r="F89" s="717"/>
      <c r="G89" s="717" t="str">
        <f t="shared" si="203"/>
        <v>044533</v>
      </c>
      <c r="H89" s="271"/>
      <c r="I89" s="622" t="s">
        <v>605</v>
      </c>
      <c r="J89" s="622" t="s">
        <v>672</v>
      </c>
      <c r="K89" s="443" t="s">
        <v>534</v>
      </c>
      <c r="L89" s="445" t="s">
        <v>611</v>
      </c>
      <c r="M89" s="444">
        <f t="shared" si="230"/>
        <v>0</v>
      </c>
      <c r="N89" s="444">
        <f t="shared" si="230"/>
        <v>40</v>
      </c>
      <c r="O89" s="444">
        <f t="shared" si="230"/>
        <v>0</v>
      </c>
      <c r="P89" s="444">
        <f t="shared" si="230"/>
        <v>0</v>
      </c>
      <c r="Q89" s="444">
        <f t="shared" si="230"/>
        <v>0</v>
      </c>
      <c r="R89" s="444">
        <f t="shared" si="225"/>
        <v>0</v>
      </c>
      <c r="S89" s="470">
        <v>0</v>
      </c>
      <c r="T89" s="487">
        <v>24.659999999999997</v>
      </c>
      <c r="U89" s="470">
        <v>0</v>
      </c>
      <c r="V89" s="470">
        <v>0</v>
      </c>
      <c r="W89" s="470">
        <v>0</v>
      </c>
      <c r="X89" s="622"/>
      <c r="Y89" s="68">
        <f t="shared" si="226"/>
        <v>0</v>
      </c>
      <c r="Z89" s="68">
        <f t="shared" si="226"/>
        <v>986.39999999999986</v>
      </c>
      <c r="AA89" s="68">
        <f t="shared" si="226"/>
        <v>0</v>
      </c>
      <c r="AB89" s="68">
        <f t="shared" si="226"/>
        <v>0</v>
      </c>
      <c r="AC89" s="68">
        <f t="shared" si="226"/>
        <v>0</v>
      </c>
      <c r="AD89" s="622"/>
      <c r="AE89" s="444">
        <f t="shared" si="227"/>
        <v>0</v>
      </c>
      <c r="AF89" s="444">
        <f t="shared" si="227"/>
        <v>40</v>
      </c>
      <c r="AG89" s="444">
        <f t="shared" si="227"/>
        <v>0</v>
      </c>
      <c r="AH89" s="444">
        <f t="shared" si="227"/>
        <v>0</v>
      </c>
      <c r="AI89" s="444">
        <f t="shared" si="227"/>
        <v>0</v>
      </c>
      <c r="AJ89" s="622"/>
      <c r="AK89" s="449">
        <f t="shared" si="163"/>
        <v>0</v>
      </c>
      <c r="AL89" s="449">
        <f>AL154-AL104</f>
        <v>27.949999999999996</v>
      </c>
      <c r="AM89" s="449">
        <f t="shared" ref="AM89:AM104" si="233">ROUND(U89*(1+AM$1),2)</f>
        <v>0</v>
      </c>
      <c r="AN89" s="449">
        <f t="shared" si="232"/>
        <v>0</v>
      </c>
      <c r="AO89" s="449">
        <f t="shared" si="231"/>
        <v>0</v>
      </c>
      <c r="AP89" s="622"/>
      <c r="AQ89" s="68">
        <f t="shared" ref="AQ89:AQ96" si="234">IF(AND(AE89&lt;&gt;0,AK89=0),#VALUE!,AE89*AK89)</f>
        <v>0</v>
      </c>
      <c r="AR89" s="68">
        <f t="shared" si="228"/>
        <v>1117.9999999999998</v>
      </c>
      <c r="AS89" s="68">
        <f t="shared" ref="AS89:AU96" si="235">IF(AND(AG89&lt;&gt;0,AM89=0),#VALUE!,AG89*AM89)</f>
        <v>0</v>
      </c>
      <c r="AT89" s="68">
        <f t="shared" si="235"/>
        <v>0</v>
      </c>
      <c r="AU89" s="68">
        <f t="shared" si="235"/>
        <v>0</v>
      </c>
      <c r="AV89" s="68">
        <f>SUM(AQ89:AU89)-SUM(Y89:AC89)</f>
        <v>131.59999999999991</v>
      </c>
      <c r="AW89" s="68"/>
      <c r="AX89" s="454">
        <v>83</v>
      </c>
      <c r="AY89" s="446"/>
      <c r="AZ89" s="446"/>
      <c r="BA89" s="446"/>
      <c r="BB89" s="446"/>
      <c r="BC89" s="446"/>
      <c r="BD89" s="446"/>
      <c r="BE89" s="452">
        <f>ROUND(AX89*$BE$2,2)+ROUND(AX89*$BE$1,2)</f>
        <v>0.18999999999999995</v>
      </c>
      <c r="BF89" s="442"/>
      <c r="BG89" s="442">
        <f>ROUND((T89*$BF$2)+$BE89-AZ89,2)</f>
        <v>25.22</v>
      </c>
      <c r="BH89" s="442"/>
      <c r="BI89" s="442"/>
      <c r="BJ89" s="442"/>
      <c r="BK89" s="622"/>
      <c r="BL89" s="622"/>
      <c r="BM89" s="450">
        <f t="shared" si="173"/>
        <v>0</v>
      </c>
      <c r="BN89" s="450">
        <f t="shared" si="173"/>
        <v>28.372044999999993</v>
      </c>
      <c r="BO89" s="450">
        <f t="shared" si="173"/>
        <v>0</v>
      </c>
      <c r="BP89" s="450">
        <f t="shared" si="173"/>
        <v>0</v>
      </c>
      <c r="BQ89" s="450">
        <f t="shared" si="175"/>
        <v>0</v>
      </c>
      <c r="BR89" s="622"/>
      <c r="BS89" s="442">
        <f t="shared" si="158"/>
        <v>0</v>
      </c>
      <c r="BT89" s="442">
        <f t="shared" si="229"/>
        <v>28.372044999999993</v>
      </c>
      <c r="BU89" s="442">
        <f t="shared" si="229"/>
        <v>0</v>
      </c>
      <c r="BV89" s="442">
        <f t="shared" si="229"/>
        <v>0</v>
      </c>
      <c r="BW89" s="442">
        <f t="shared" si="229"/>
        <v>0</v>
      </c>
      <c r="DT89" s="455"/>
      <c r="DU89" s="455"/>
      <c r="DV89" s="455"/>
      <c r="DW89" s="455"/>
      <c r="DX89" s="455"/>
      <c r="DY89" s="455"/>
      <c r="DZ89" s="455"/>
      <c r="EA89" s="455"/>
      <c r="EB89" s="455"/>
      <c r="EC89" s="455"/>
      <c r="ED89" s="455"/>
      <c r="EE89" s="455"/>
      <c r="EF89" s="455"/>
      <c r="EG89" s="455"/>
      <c r="EH89" s="455"/>
      <c r="EI89" s="455"/>
      <c r="EJ89" s="455"/>
      <c r="EK89" s="455"/>
      <c r="EL89" s="455"/>
      <c r="EM89" s="455"/>
      <c r="EN89" s="455"/>
      <c r="EO89" s="455"/>
      <c r="EP89" s="455"/>
    </row>
    <row r="90" spans="1:172">
      <c r="B90" s="714">
        <v>2</v>
      </c>
      <c r="C90" s="715" t="s">
        <v>98</v>
      </c>
      <c r="D90" s="714">
        <v>535</v>
      </c>
      <c r="E90" s="716">
        <v>7</v>
      </c>
      <c r="F90" s="717"/>
      <c r="G90" s="717" t="str">
        <f t="shared" si="203"/>
        <v>044535</v>
      </c>
      <c r="H90" s="271"/>
      <c r="I90" s="380" t="s">
        <v>605</v>
      </c>
      <c r="J90" s="622" t="s">
        <v>672</v>
      </c>
      <c r="K90" s="443" t="s">
        <v>534</v>
      </c>
      <c r="L90" s="445" t="s">
        <v>535</v>
      </c>
      <c r="M90" s="444">
        <f t="shared" si="230"/>
        <v>0</v>
      </c>
      <c r="N90" s="444">
        <f t="shared" si="230"/>
        <v>1</v>
      </c>
      <c r="O90" s="444">
        <f t="shared" si="230"/>
        <v>0</v>
      </c>
      <c r="P90" s="444">
        <f t="shared" si="230"/>
        <v>0</v>
      </c>
      <c r="Q90" s="444">
        <f t="shared" si="230"/>
        <v>0</v>
      </c>
      <c r="R90" s="444">
        <f t="shared" si="225"/>
        <v>0</v>
      </c>
      <c r="S90" s="470">
        <v>0</v>
      </c>
      <c r="T90" s="487">
        <v>32.119999999999997</v>
      </c>
      <c r="U90" s="470">
        <v>0</v>
      </c>
      <c r="V90" s="470">
        <v>0</v>
      </c>
      <c r="W90" s="470">
        <v>0</v>
      </c>
      <c r="X90" s="622"/>
      <c r="Y90" s="622"/>
      <c r="Z90" s="68">
        <f t="shared" ref="Z90:AC91" si="236">IF(AND(N90&lt;&gt;0,T90=0),#VALUE!,N90*T90)</f>
        <v>32.119999999999997</v>
      </c>
      <c r="AA90" s="68">
        <f t="shared" si="236"/>
        <v>0</v>
      </c>
      <c r="AB90" s="68">
        <f t="shared" si="236"/>
        <v>0</v>
      </c>
      <c r="AC90" s="68">
        <f t="shared" si="236"/>
        <v>0</v>
      </c>
      <c r="AD90" s="622"/>
      <c r="AE90" s="444">
        <f t="shared" ref="AE90:AI101" si="237">SUMIF($G:$G,TEXT(AE$3,"000")&amp;TEXT($L90,"000"),$E:$E)</f>
        <v>0</v>
      </c>
      <c r="AF90" s="444">
        <f t="shared" si="237"/>
        <v>1</v>
      </c>
      <c r="AG90" s="444">
        <f t="shared" si="237"/>
        <v>0</v>
      </c>
      <c r="AH90" s="444">
        <f t="shared" si="237"/>
        <v>0</v>
      </c>
      <c r="AI90" s="444">
        <f t="shared" si="237"/>
        <v>0</v>
      </c>
      <c r="AJ90" s="622"/>
      <c r="AK90" s="449">
        <f t="shared" si="163"/>
        <v>0</v>
      </c>
      <c r="AL90" s="449">
        <f>AL154</f>
        <v>35.409999999999997</v>
      </c>
      <c r="AM90" s="449">
        <f t="shared" si="233"/>
        <v>0</v>
      </c>
      <c r="AN90" s="449">
        <f t="shared" si="232"/>
        <v>0</v>
      </c>
      <c r="AO90" s="449">
        <f t="shared" si="231"/>
        <v>0</v>
      </c>
      <c r="AP90" s="622"/>
      <c r="AQ90" s="68">
        <f t="shared" si="234"/>
        <v>0</v>
      </c>
      <c r="AR90" s="68">
        <f t="shared" si="228"/>
        <v>35.409999999999997</v>
      </c>
      <c r="AS90" s="68">
        <f t="shared" si="235"/>
        <v>0</v>
      </c>
      <c r="AT90" s="68">
        <f t="shared" si="235"/>
        <v>0</v>
      </c>
      <c r="AU90" s="68">
        <f t="shared" si="235"/>
        <v>0</v>
      </c>
      <c r="AV90" s="622"/>
      <c r="AW90" s="622"/>
      <c r="AX90" s="622"/>
      <c r="AY90" s="18"/>
      <c r="AZ90" s="18"/>
      <c r="BA90" s="18"/>
      <c r="BB90" s="18"/>
      <c r="BC90" s="18"/>
      <c r="BD90" s="622"/>
      <c r="BE90" s="622"/>
      <c r="BF90" s="622"/>
      <c r="BG90" s="622"/>
      <c r="BH90" s="622"/>
      <c r="BI90" s="622"/>
      <c r="BJ90" s="622"/>
      <c r="BK90" s="622"/>
      <c r="BL90" s="622"/>
      <c r="BM90" s="450">
        <f t="shared" si="173"/>
        <v>0</v>
      </c>
      <c r="BN90" s="450">
        <f t="shared" si="173"/>
        <v>35.944690999999992</v>
      </c>
      <c r="BO90" s="450">
        <f t="shared" si="173"/>
        <v>0</v>
      </c>
      <c r="BP90" s="450">
        <f t="shared" si="173"/>
        <v>0</v>
      </c>
      <c r="BQ90" s="450">
        <f t="shared" si="175"/>
        <v>0</v>
      </c>
      <c r="BR90" s="622"/>
      <c r="BS90" s="442">
        <f t="shared" si="158"/>
        <v>0</v>
      </c>
      <c r="BT90" s="442">
        <f t="shared" ref="BT90:BT103" si="238">BN90-AZ90</f>
        <v>35.944690999999992</v>
      </c>
      <c r="BU90" s="442">
        <f t="shared" ref="BU90:BU104" si="239">BO90-BA90</f>
        <v>0</v>
      </c>
      <c r="BV90" s="442">
        <f t="shared" ref="BV90:BV104" si="240">BP90-BB90</f>
        <v>0</v>
      </c>
      <c r="BW90" s="442">
        <f t="shared" ref="BW90:BW104" si="241">BQ90-BC90</f>
        <v>0</v>
      </c>
      <c r="DV90" s="455"/>
      <c r="DW90" s="455"/>
      <c r="DX90" s="455"/>
      <c r="DY90" s="455"/>
      <c r="DZ90" s="455"/>
      <c r="EA90" s="455"/>
      <c r="EB90" s="455"/>
      <c r="EC90" s="455"/>
      <c r="ED90" s="455"/>
      <c r="EE90" s="455"/>
      <c r="EF90" s="455"/>
      <c r="EG90" s="455"/>
      <c r="EH90" s="455"/>
      <c r="EI90" s="455"/>
      <c r="EJ90" s="455"/>
      <c r="EK90" s="455"/>
      <c r="EL90" s="455"/>
      <c r="EM90" s="455"/>
      <c r="EN90" s="455"/>
      <c r="EO90" s="455"/>
      <c r="EP90" s="455"/>
      <c r="EQ90" s="455"/>
      <c r="ER90" s="455"/>
      <c r="ES90" s="455"/>
      <c r="ET90" s="455"/>
      <c r="EU90" s="455"/>
      <c r="EV90" s="455"/>
      <c r="EW90" s="455"/>
      <c r="EX90" s="455"/>
      <c r="EY90" s="455"/>
      <c r="EZ90" s="455"/>
    </row>
    <row r="91" spans="1:172" s="622" customFormat="1">
      <c r="A91"/>
      <c r="B91" s="714">
        <v>2</v>
      </c>
      <c r="C91" s="715" t="s">
        <v>98</v>
      </c>
      <c r="D91" s="714">
        <v>632</v>
      </c>
      <c r="E91" s="716">
        <v>0</v>
      </c>
      <c r="F91" s="717"/>
      <c r="G91" s="717" t="str">
        <f t="shared" si="203"/>
        <v>044632</v>
      </c>
      <c r="H91" s="271"/>
      <c r="I91" s="380" t="s">
        <v>605</v>
      </c>
      <c r="J91" s="505" t="s">
        <v>86</v>
      </c>
      <c r="K91" s="443" t="s">
        <v>534</v>
      </c>
      <c r="L91" s="445" t="s">
        <v>662</v>
      </c>
      <c r="M91" s="444">
        <f t="shared" si="230"/>
        <v>0</v>
      </c>
      <c r="N91" s="444">
        <f t="shared" si="230"/>
        <v>3</v>
      </c>
      <c r="O91" s="444">
        <f t="shared" si="230"/>
        <v>0</v>
      </c>
      <c r="P91" s="444">
        <f t="shared" si="230"/>
        <v>0</v>
      </c>
      <c r="Q91" s="444">
        <f t="shared" si="230"/>
        <v>0</v>
      </c>
      <c r="R91" s="444">
        <f t="shared" si="225"/>
        <v>0</v>
      </c>
      <c r="S91" s="470">
        <v>0</v>
      </c>
      <c r="T91" s="487">
        <v>53.4</v>
      </c>
      <c r="U91" s="470">
        <v>0</v>
      </c>
      <c r="V91" s="470">
        <v>0</v>
      </c>
      <c r="W91" s="470">
        <v>0</v>
      </c>
      <c r="X91" s="505"/>
      <c r="Y91" s="505"/>
      <c r="Z91" s="68">
        <f t="shared" si="236"/>
        <v>160.19999999999999</v>
      </c>
      <c r="AA91" s="696">
        <f t="shared" si="236"/>
        <v>0</v>
      </c>
      <c r="AB91" s="68">
        <f t="shared" si="236"/>
        <v>0</v>
      </c>
      <c r="AC91" s="68">
        <f t="shared" si="236"/>
        <v>0</v>
      </c>
      <c r="AD91" s="505"/>
      <c r="AE91" s="444">
        <f t="shared" si="237"/>
        <v>0</v>
      </c>
      <c r="AF91" s="444">
        <f t="shared" si="237"/>
        <v>3</v>
      </c>
      <c r="AG91" s="444">
        <f t="shared" si="237"/>
        <v>0</v>
      </c>
      <c r="AH91" s="444">
        <f t="shared" si="237"/>
        <v>0</v>
      </c>
      <c r="AI91" s="444">
        <f t="shared" si="237"/>
        <v>0</v>
      </c>
      <c r="AJ91" s="505"/>
      <c r="AK91" s="449">
        <f t="shared" si="163"/>
        <v>0</v>
      </c>
      <c r="AL91" s="449">
        <f>AL92-AL104</f>
        <v>59.63</v>
      </c>
      <c r="AM91" s="449">
        <f t="shared" si="233"/>
        <v>0</v>
      </c>
      <c r="AN91" s="449">
        <f t="shared" si="232"/>
        <v>0</v>
      </c>
      <c r="AO91" s="449">
        <f t="shared" si="231"/>
        <v>0</v>
      </c>
      <c r="AP91" s="505"/>
      <c r="AQ91" s="68">
        <f t="shared" si="234"/>
        <v>0</v>
      </c>
      <c r="AR91" s="68">
        <f t="shared" si="228"/>
        <v>178.89000000000001</v>
      </c>
      <c r="AS91" s="68">
        <f t="shared" si="235"/>
        <v>0</v>
      </c>
      <c r="AT91" s="68">
        <f t="shared" si="235"/>
        <v>0</v>
      </c>
      <c r="AU91" s="68">
        <f t="shared" si="235"/>
        <v>0</v>
      </c>
      <c r="AV91" s="68">
        <f t="shared" ref="AV91:AV92" si="242">SUM(AR91)-SUM(Z91)</f>
        <v>18.690000000000026</v>
      </c>
      <c r="AW91" s="400">
        <f t="shared" ref="AW91:AW100" si="243">AV91/Z91</f>
        <v>0.11666666666666684</v>
      </c>
      <c r="AX91" s="505"/>
      <c r="AY91" s="505"/>
      <c r="AZ91" s="505"/>
      <c r="BA91" s="505"/>
      <c r="BB91" s="505"/>
      <c r="BC91" s="505"/>
      <c r="BD91" s="505"/>
      <c r="BE91" s="505"/>
      <c r="BF91" s="505"/>
      <c r="BG91" s="505"/>
      <c r="BH91" s="505"/>
      <c r="BI91" s="505"/>
      <c r="BJ91" s="505"/>
      <c r="BK91" s="505"/>
      <c r="BL91" s="505"/>
      <c r="BM91" s="450">
        <f t="shared" si="173"/>
        <v>0</v>
      </c>
      <c r="BN91" s="450">
        <f t="shared" si="173"/>
        <v>60.530412999999996</v>
      </c>
      <c r="BO91" s="450">
        <f t="shared" si="173"/>
        <v>0</v>
      </c>
      <c r="BP91" s="450">
        <f t="shared" si="173"/>
        <v>0</v>
      </c>
      <c r="BQ91" s="450">
        <f t="shared" si="175"/>
        <v>0</v>
      </c>
      <c r="BR91" s="505"/>
      <c r="BS91" s="442">
        <f t="shared" si="158"/>
        <v>0</v>
      </c>
      <c r="BT91" s="442">
        <f t="shared" si="238"/>
        <v>60.530412999999996</v>
      </c>
      <c r="BU91" s="442">
        <f t="shared" si="239"/>
        <v>0</v>
      </c>
      <c r="BV91" s="442">
        <f t="shared" si="240"/>
        <v>0</v>
      </c>
      <c r="BW91" s="442">
        <f t="shared" si="241"/>
        <v>0</v>
      </c>
    </row>
    <row r="92" spans="1:172" s="622" customFormat="1">
      <c r="A92" s="286"/>
      <c r="B92" s="714">
        <v>2</v>
      </c>
      <c r="C92" s="715" t="s">
        <v>98</v>
      </c>
      <c r="D92" s="714">
        <v>635</v>
      </c>
      <c r="E92" s="716">
        <f>12+1</f>
        <v>13</v>
      </c>
      <c r="F92" s="717"/>
      <c r="G92" s="717" t="str">
        <f t="shared" si="203"/>
        <v>044635</v>
      </c>
      <c r="H92" s="847"/>
      <c r="I92" s="380" t="s">
        <v>605</v>
      </c>
      <c r="J92" s="480" t="s">
        <v>86</v>
      </c>
      <c r="K92" s="443" t="s">
        <v>534</v>
      </c>
      <c r="L92" s="445" t="s">
        <v>536</v>
      </c>
      <c r="M92" s="444">
        <f t="shared" si="230"/>
        <v>0</v>
      </c>
      <c r="N92" s="444">
        <f t="shared" si="230"/>
        <v>1</v>
      </c>
      <c r="O92" s="444">
        <f t="shared" si="230"/>
        <v>0</v>
      </c>
      <c r="P92" s="444">
        <f t="shared" si="230"/>
        <v>0</v>
      </c>
      <c r="Q92" s="444">
        <f t="shared" si="230"/>
        <v>0</v>
      </c>
      <c r="R92" s="444">
        <f t="shared" si="225"/>
        <v>0</v>
      </c>
      <c r="S92" s="470">
        <v>0</v>
      </c>
      <c r="T92" s="487">
        <v>60.86</v>
      </c>
      <c r="U92" s="470">
        <v>0</v>
      </c>
      <c r="V92" s="470">
        <v>0</v>
      </c>
      <c r="W92" s="470">
        <v>0</v>
      </c>
      <c r="X92" s="480"/>
      <c r="Y92" s="480"/>
      <c r="Z92" s="68">
        <f t="shared" ref="Z92" si="244">IF(AND(N92&lt;&gt;0,T92=0),#VALUE!,N92*T92)</f>
        <v>60.86</v>
      </c>
      <c r="AA92" s="68">
        <f t="shared" ref="AA92:AC93" si="245">IF(AND(O92&lt;&gt;0,U92=0),#VALUE!,O92*U92)</f>
        <v>0</v>
      </c>
      <c r="AB92" s="68">
        <f t="shared" si="245"/>
        <v>0</v>
      </c>
      <c r="AC92" s="68">
        <f t="shared" si="245"/>
        <v>0</v>
      </c>
      <c r="AD92" s="480"/>
      <c r="AE92" s="444">
        <f t="shared" si="237"/>
        <v>0</v>
      </c>
      <c r="AF92" s="444">
        <f t="shared" si="237"/>
        <v>1</v>
      </c>
      <c r="AG92" s="444">
        <f t="shared" si="237"/>
        <v>0</v>
      </c>
      <c r="AH92" s="444">
        <f t="shared" si="237"/>
        <v>0</v>
      </c>
      <c r="AI92" s="444">
        <f t="shared" si="237"/>
        <v>0</v>
      </c>
      <c r="AJ92" s="480"/>
      <c r="AK92" s="449">
        <f t="shared" si="163"/>
        <v>0</v>
      </c>
      <c r="AL92" s="449">
        <f>ROUND(T92*(1+AL$1),2)</f>
        <v>67.09</v>
      </c>
      <c r="AM92" s="449">
        <f t="shared" si="233"/>
        <v>0</v>
      </c>
      <c r="AN92" s="449">
        <f t="shared" si="232"/>
        <v>0</v>
      </c>
      <c r="AO92" s="449">
        <f t="shared" si="231"/>
        <v>0</v>
      </c>
      <c r="AP92" s="480"/>
      <c r="AQ92" s="68">
        <f t="shared" si="234"/>
        <v>0</v>
      </c>
      <c r="AR92" s="68">
        <f t="shared" si="228"/>
        <v>67.09</v>
      </c>
      <c r="AS92" s="68">
        <f t="shared" si="235"/>
        <v>0</v>
      </c>
      <c r="AT92" s="68">
        <f t="shared" si="235"/>
        <v>0</v>
      </c>
      <c r="AU92" s="68">
        <f t="shared" si="235"/>
        <v>0</v>
      </c>
      <c r="AV92" s="68">
        <f t="shared" si="242"/>
        <v>6.230000000000004</v>
      </c>
      <c r="AW92" s="400">
        <f t="shared" si="243"/>
        <v>0.10236608609924423</v>
      </c>
      <c r="AX92" s="390"/>
      <c r="AY92"/>
      <c r="AZ92"/>
      <c r="BA92"/>
      <c r="BB92"/>
      <c r="BC92"/>
      <c r="BD92" s="390"/>
      <c r="BE92"/>
      <c r="BF92"/>
      <c r="BG92"/>
      <c r="BH92"/>
      <c r="BI92"/>
      <c r="BJ92"/>
      <c r="BK92"/>
      <c r="BL92"/>
      <c r="BM92" s="450">
        <f t="shared" si="173"/>
        <v>0</v>
      </c>
      <c r="BN92" s="450">
        <f t="shared" si="173"/>
        <v>68.103059000000002</v>
      </c>
      <c r="BO92" s="450">
        <f t="shared" si="173"/>
        <v>0</v>
      </c>
      <c r="BP92" s="450">
        <f t="shared" si="173"/>
        <v>0</v>
      </c>
      <c r="BQ92" s="450">
        <f t="shared" si="175"/>
        <v>0</v>
      </c>
      <c r="BR92"/>
      <c r="BS92" s="442">
        <f t="shared" si="158"/>
        <v>0</v>
      </c>
      <c r="BT92" s="442">
        <f t="shared" si="238"/>
        <v>68.103059000000002</v>
      </c>
      <c r="BU92" s="442">
        <f t="shared" si="239"/>
        <v>0</v>
      </c>
      <c r="BV92" s="442">
        <f t="shared" si="240"/>
        <v>0</v>
      </c>
      <c r="BW92" s="442">
        <f t="shared" si="241"/>
        <v>0</v>
      </c>
    </row>
    <row r="93" spans="1:172" s="622" customFormat="1">
      <c r="A93"/>
      <c r="B93" s="714">
        <v>2</v>
      </c>
      <c r="C93" s="715" t="s">
        <v>98</v>
      </c>
      <c r="D93" s="714">
        <v>732</v>
      </c>
      <c r="E93" s="716">
        <v>7</v>
      </c>
      <c r="F93" s="717"/>
      <c r="G93" s="717" t="str">
        <f t="shared" si="203"/>
        <v>044732</v>
      </c>
      <c r="H93" s="271"/>
      <c r="I93" t="s">
        <v>105</v>
      </c>
      <c r="J93" t="s">
        <v>671</v>
      </c>
      <c r="K93" s="57" t="s">
        <v>124</v>
      </c>
      <c r="L93" s="91">
        <v>835</v>
      </c>
      <c r="M93" s="67">
        <f t="shared" si="230"/>
        <v>0</v>
      </c>
      <c r="N93" s="67">
        <f t="shared" si="230"/>
        <v>2</v>
      </c>
      <c r="O93" s="67">
        <f t="shared" si="230"/>
        <v>9</v>
      </c>
      <c r="P93" s="67">
        <f t="shared" si="230"/>
        <v>0</v>
      </c>
      <c r="Q93" s="67">
        <f t="shared" si="230"/>
        <v>8</v>
      </c>
      <c r="R93" s="444">
        <f t="shared" si="225"/>
        <v>0</v>
      </c>
      <c r="S93" s="470">
        <v>0</v>
      </c>
      <c r="T93" s="470">
        <v>32.119999999999997</v>
      </c>
      <c r="U93" s="470">
        <v>24.1</v>
      </c>
      <c r="V93" s="470">
        <v>0</v>
      </c>
      <c r="W93" s="470">
        <v>20.05</v>
      </c>
      <c r="X93"/>
      <c r="Y93" s="68">
        <f>IF(AND(M93&lt;&gt;0,S93=0),#VALUE!,M93*S93)</f>
        <v>0</v>
      </c>
      <c r="Z93" s="68">
        <f>IF(AND(N93&lt;&gt;0,T93=0),#VALUE!,N93*T93)</f>
        <v>64.239999999999995</v>
      </c>
      <c r="AA93" s="68">
        <f t="shared" si="245"/>
        <v>216.9</v>
      </c>
      <c r="AB93" s="68">
        <f t="shared" si="245"/>
        <v>0</v>
      </c>
      <c r="AC93" s="68">
        <f t="shared" si="245"/>
        <v>160.4</v>
      </c>
      <c r="AD93"/>
      <c r="AE93" s="444">
        <f t="shared" si="237"/>
        <v>0</v>
      </c>
      <c r="AF93" s="444">
        <f t="shared" si="237"/>
        <v>2</v>
      </c>
      <c r="AG93" s="444">
        <f t="shared" si="237"/>
        <v>9</v>
      </c>
      <c r="AH93" s="444">
        <f t="shared" si="237"/>
        <v>0</v>
      </c>
      <c r="AI93" s="444">
        <f t="shared" si="237"/>
        <v>8</v>
      </c>
      <c r="AJ93"/>
      <c r="AK93" s="449">
        <f t="shared" si="163"/>
        <v>0</v>
      </c>
      <c r="AL93" s="449">
        <f>ROUND(T93*(1+AL$1),2)</f>
        <v>35.409999999999997</v>
      </c>
      <c r="AM93" s="449">
        <f t="shared" si="233"/>
        <v>26.73</v>
      </c>
      <c r="AN93" s="449">
        <f t="shared" si="232"/>
        <v>0</v>
      </c>
      <c r="AO93" s="449">
        <f t="shared" si="231"/>
        <v>22.24</v>
      </c>
      <c r="AP93"/>
      <c r="AQ93" s="68">
        <f t="shared" si="234"/>
        <v>0</v>
      </c>
      <c r="AR93" s="68">
        <f t="shared" si="228"/>
        <v>70.819999999999993</v>
      </c>
      <c r="AS93" s="68">
        <f t="shared" si="235"/>
        <v>240.57</v>
      </c>
      <c r="AT93" s="68">
        <f t="shared" si="235"/>
        <v>0</v>
      </c>
      <c r="AU93" s="68">
        <f t="shared" si="235"/>
        <v>177.92</v>
      </c>
      <c r="AV93" s="68">
        <f>SUM(AR93)-SUM(Z93)</f>
        <v>6.5799999999999983</v>
      </c>
      <c r="AW93" s="400">
        <f>AV93/Z93</f>
        <v>0.10242839352428391</v>
      </c>
      <c r="AX93" s="392">
        <v>169</v>
      </c>
      <c r="AY93" s="446"/>
      <c r="AZ93" s="446">
        <v>29.925147999999997</v>
      </c>
      <c r="BA93" s="446">
        <v>22.169783999999996</v>
      </c>
      <c r="BB93" s="446"/>
      <c r="BC93" s="446">
        <v>18.444367</v>
      </c>
      <c r="BD93" s="131"/>
      <c r="BE93" s="452">
        <f>ROUND(AX93*$BE$2,2)+ROUND(AX93*$BE$1,2)</f>
        <v>0.37999999999999989</v>
      </c>
      <c r="BF93" s="52"/>
      <c r="BG93" s="52">
        <f>ROUND((T93*$BF$2)+$BE93-AZ93,2)</f>
        <v>3.06</v>
      </c>
      <c r="BH93" s="52">
        <f>ROUND((U93*$BF$2)+$BE93-BA93,2)</f>
        <v>2.67</v>
      </c>
      <c r="BI93" s="52"/>
      <c r="BJ93" s="52">
        <f>ROUND((W93*$BF$2)+$BE93-BC93,2)</f>
        <v>2.29</v>
      </c>
      <c r="BK93"/>
      <c r="BL93"/>
      <c r="BM93" s="450">
        <f t="shared" si="173"/>
        <v>0</v>
      </c>
      <c r="BN93" s="450">
        <f t="shared" si="173"/>
        <v>35.944690999999992</v>
      </c>
      <c r="BO93" s="450">
        <f t="shared" si="173"/>
        <v>27.133622999999996</v>
      </c>
      <c r="BP93" s="450">
        <f t="shared" si="173"/>
        <v>0</v>
      </c>
      <c r="BQ93" s="450">
        <f t="shared" si="175"/>
        <v>22.575823999999997</v>
      </c>
      <c r="BR93"/>
      <c r="BS93" s="442">
        <f t="shared" si="158"/>
        <v>0</v>
      </c>
      <c r="BT93" s="442">
        <f t="shared" si="238"/>
        <v>6.0195429999999952</v>
      </c>
      <c r="BU93" s="442">
        <f t="shared" si="239"/>
        <v>4.9638390000000001</v>
      </c>
      <c r="BV93" s="442">
        <f t="shared" si="240"/>
        <v>0</v>
      </c>
      <c r="BW93" s="442">
        <f t="shared" si="241"/>
        <v>4.1314569999999975</v>
      </c>
    </row>
    <row r="94" spans="1:172">
      <c r="B94" s="714">
        <v>2</v>
      </c>
      <c r="C94" s="715" t="s">
        <v>98</v>
      </c>
      <c r="D94" s="714">
        <v>735</v>
      </c>
      <c r="E94" s="716">
        <v>1</v>
      </c>
      <c r="F94" s="717"/>
      <c r="G94" s="717" t="str">
        <f t="shared" si="203"/>
        <v>044735</v>
      </c>
      <c r="H94" s="247"/>
      <c r="I94" s="488" t="s">
        <v>605</v>
      </c>
      <c r="J94" s="509" t="s">
        <v>671</v>
      </c>
      <c r="K94" s="443" t="s">
        <v>534</v>
      </c>
      <c r="L94" s="445" t="s">
        <v>619</v>
      </c>
      <c r="M94" s="444">
        <f t="shared" si="230"/>
        <v>0</v>
      </c>
      <c r="N94" s="444">
        <f t="shared" si="230"/>
        <v>36</v>
      </c>
      <c r="O94" s="444">
        <f t="shared" si="230"/>
        <v>0</v>
      </c>
      <c r="P94" s="444">
        <f t="shared" si="230"/>
        <v>0</v>
      </c>
      <c r="Q94" s="444">
        <f t="shared" si="230"/>
        <v>0</v>
      </c>
      <c r="R94" s="444">
        <f t="shared" si="225"/>
        <v>0</v>
      </c>
      <c r="S94" s="470">
        <v>0</v>
      </c>
      <c r="T94" s="487">
        <v>24.659999999999997</v>
      </c>
      <c r="U94" s="470">
        <v>0</v>
      </c>
      <c r="V94" s="470">
        <v>0</v>
      </c>
      <c r="W94" s="470">
        <v>0</v>
      </c>
      <c r="X94" s="488"/>
      <c r="Y94" s="68">
        <f>IF(AND(M94&lt;&gt;0,S94=0),#VALUE!,M94*S94)</f>
        <v>0</v>
      </c>
      <c r="Z94" s="68">
        <f>IF(AND(N94&lt;&gt;0,T94=0),#VALUE!,N94*T94)</f>
        <v>887.75999999999988</v>
      </c>
      <c r="AA94" s="68">
        <f t="shared" ref="AA94:AA99" si="246">IF(AND(O94&lt;&gt;0,U94=0),#VALUE!,O94*U94)</f>
        <v>0</v>
      </c>
      <c r="AB94" s="68">
        <f>IF(AND(P94&lt;&gt;0,V94=0),#VALUE!,P94*V94)</f>
        <v>0</v>
      </c>
      <c r="AC94" s="68">
        <f t="shared" ref="AC94:AC100" si="247">IF(AND(Q94&lt;&gt;0,W94=0),#VALUE!,Q94*W94)</f>
        <v>0</v>
      </c>
      <c r="AD94" s="488"/>
      <c r="AE94" s="444">
        <f t="shared" si="237"/>
        <v>0</v>
      </c>
      <c r="AF94" s="444">
        <f t="shared" si="237"/>
        <v>36</v>
      </c>
      <c r="AG94" s="444">
        <f t="shared" si="237"/>
        <v>0</v>
      </c>
      <c r="AH94" s="444">
        <f t="shared" si="237"/>
        <v>0</v>
      </c>
      <c r="AI94" s="444">
        <f t="shared" si="237"/>
        <v>0</v>
      </c>
      <c r="AJ94" s="488"/>
      <c r="AK94" s="449">
        <f t="shared" si="163"/>
        <v>0</v>
      </c>
      <c r="AL94" s="449">
        <f>AL93-AL104</f>
        <v>27.949999999999996</v>
      </c>
      <c r="AM94" s="449">
        <f t="shared" si="233"/>
        <v>0</v>
      </c>
      <c r="AN94" s="449">
        <f t="shared" si="232"/>
        <v>0</v>
      </c>
      <c r="AO94" s="449">
        <f t="shared" si="231"/>
        <v>0</v>
      </c>
      <c r="AP94" s="488"/>
      <c r="AQ94" s="68">
        <f t="shared" si="234"/>
        <v>0</v>
      </c>
      <c r="AR94" s="68">
        <f t="shared" si="228"/>
        <v>1006.1999999999998</v>
      </c>
      <c r="AS94" s="68">
        <f t="shared" si="235"/>
        <v>0</v>
      </c>
      <c r="AT94" s="68">
        <f t="shared" si="235"/>
        <v>0</v>
      </c>
      <c r="AU94" s="68">
        <f t="shared" si="235"/>
        <v>0</v>
      </c>
      <c r="AV94" s="68">
        <f>SUM(AR94)-SUM(Z94)</f>
        <v>118.43999999999994</v>
      </c>
      <c r="AW94" s="400">
        <f t="shared" si="243"/>
        <v>0.13341443633414432</v>
      </c>
      <c r="AX94" s="454">
        <v>83</v>
      </c>
      <c r="AY94" s="446"/>
      <c r="AZ94" s="446">
        <v>21.885556000000001</v>
      </c>
      <c r="BA94" s="446"/>
      <c r="BB94" s="446"/>
      <c r="BC94" s="446"/>
      <c r="BD94" s="446"/>
      <c r="BE94" s="452">
        <f>ROUND(AX94*$BE$2,2)+ROUND(AX94*$BE$1,2)</f>
        <v>0.18999999999999995</v>
      </c>
      <c r="BF94" s="442"/>
      <c r="BG94" s="442">
        <f>ROUND((T94*$BF$2)+$BE94-AZ94,2)</f>
        <v>3.34</v>
      </c>
      <c r="BH94" s="442"/>
      <c r="BI94" s="442"/>
      <c r="BJ94" s="442"/>
      <c r="BK94" s="488"/>
      <c r="BL94" s="488"/>
      <c r="BM94" s="450">
        <f t="shared" si="173"/>
        <v>0</v>
      </c>
      <c r="BN94" s="450">
        <f t="shared" si="173"/>
        <v>28.372044999999993</v>
      </c>
      <c r="BO94" s="450">
        <f t="shared" si="173"/>
        <v>0</v>
      </c>
      <c r="BP94" s="450">
        <f t="shared" si="173"/>
        <v>0</v>
      </c>
      <c r="BQ94" s="450">
        <f t="shared" si="175"/>
        <v>0</v>
      </c>
      <c r="BR94" s="488"/>
      <c r="BS94" s="442">
        <f t="shared" si="158"/>
        <v>0</v>
      </c>
      <c r="BT94" s="442">
        <f t="shared" si="238"/>
        <v>6.4864889999999917</v>
      </c>
      <c r="BU94" s="442">
        <f t="shared" si="239"/>
        <v>0</v>
      </c>
      <c r="BV94" s="442">
        <f t="shared" si="240"/>
        <v>0</v>
      </c>
      <c r="BW94" s="442">
        <f t="shared" si="241"/>
        <v>0</v>
      </c>
      <c r="BX94" s="505"/>
      <c r="BY94" s="505"/>
      <c r="BZ94" s="505"/>
      <c r="CA94" s="505"/>
      <c r="CB94" s="505"/>
      <c r="CC94" s="505"/>
      <c r="CD94" s="505"/>
      <c r="CE94" s="505"/>
      <c r="CF94" s="505"/>
      <c r="CG94" s="505"/>
      <c r="CH94" s="505"/>
      <c r="CI94" s="505"/>
      <c r="CJ94" s="505"/>
      <c r="CK94" s="505"/>
      <c r="CL94" s="505"/>
      <c r="CM94" s="505"/>
      <c r="CN94" s="505"/>
      <c r="CO94" s="505"/>
      <c r="CP94" s="505"/>
      <c r="CQ94" s="505"/>
      <c r="CR94" s="505"/>
      <c r="CS94" s="505"/>
      <c r="CT94" s="505"/>
    </row>
    <row r="95" spans="1:172">
      <c r="B95" s="714">
        <v>2</v>
      </c>
      <c r="C95" s="715" t="s">
        <v>98</v>
      </c>
      <c r="D95" s="714">
        <v>835</v>
      </c>
      <c r="E95" s="716">
        <v>9</v>
      </c>
      <c r="F95" s="717"/>
      <c r="G95" s="717" t="str">
        <f t="shared" si="203"/>
        <v>044835</v>
      </c>
      <c r="H95" s="271"/>
      <c r="I95" s="380" t="s">
        <v>605</v>
      </c>
      <c r="J95" s="509" t="s">
        <v>671</v>
      </c>
      <c r="K95" s="443" t="s">
        <v>534</v>
      </c>
      <c r="L95" s="445" t="s">
        <v>537</v>
      </c>
      <c r="M95" s="444">
        <f t="shared" si="230"/>
        <v>0</v>
      </c>
      <c r="N95" s="444">
        <f t="shared" si="230"/>
        <v>11</v>
      </c>
      <c r="O95" s="444">
        <f t="shared" si="230"/>
        <v>0</v>
      </c>
      <c r="P95" s="444">
        <f t="shared" si="230"/>
        <v>0</v>
      </c>
      <c r="Q95" s="444">
        <f t="shared" si="230"/>
        <v>0</v>
      </c>
      <c r="R95" s="444">
        <f t="shared" si="225"/>
        <v>0</v>
      </c>
      <c r="S95" s="470">
        <v>0</v>
      </c>
      <c r="T95" s="487">
        <v>32.119999999999997</v>
      </c>
      <c r="U95" s="470">
        <v>0</v>
      </c>
      <c r="V95" s="470">
        <v>0</v>
      </c>
      <c r="W95" s="470">
        <v>0</v>
      </c>
      <c r="X95" s="480"/>
      <c r="Y95" s="480"/>
      <c r="Z95" s="68">
        <f t="shared" ref="Z95:Z97" si="248">IF(AND(N95&lt;&gt;0,T95=0),#VALUE!,N95*T95)</f>
        <v>353.32</v>
      </c>
      <c r="AA95" s="68">
        <f t="shared" si="246"/>
        <v>0</v>
      </c>
      <c r="AB95" s="68">
        <f>IF(AND(P95&lt;&gt;0,V95=0),#VALUE!,P95*V95)</f>
        <v>0</v>
      </c>
      <c r="AC95" s="68">
        <f t="shared" si="247"/>
        <v>0</v>
      </c>
      <c r="AD95" s="480"/>
      <c r="AE95" s="444">
        <f t="shared" si="237"/>
        <v>0</v>
      </c>
      <c r="AF95" s="444">
        <f t="shared" si="237"/>
        <v>11</v>
      </c>
      <c r="AG95" s="444">
        <f t="shared" si="237"/>
        <v>0</v>
      </c>
      <c r="AH95" s="444">
        <f t="shared" si="237"/>
        <v>0</v>
      </c>
      <c r="AI95" s="444">
        <f t="shared" si="237"/>
        <v>0</v>
      </c>
      <c r="AJ95" s="480"/>
      <c r="AK95" s="449">
        <f t="shared" ref="AK95:AK100" si="249">ROUND(S95*(1+AK$1),2)</f>
        <v>0</v>
      </c>
      <c r="AL95" s="449">
        <f>AL93</f>
        <v>35.409999999999997</v>
      </c>
      <c r="AM95" s="449">
        <f t="shared" si="233"/>
        <v>0</v>
      </c>
      <c r="AN95" s="449">
        <f t="shared" si="232"/>
        <v>0</v>
      </c>
      <c r="AO95" s="449">
        <f t="shared" si="231"/>
        <v>0</v>
      </c>
      <c r="AP95" s="480"/>
      <c r="AQ95" s="68">
        <f t="shared" si="234"/>
        <v>0</v>
      </c>
      <c r="AR95" s="68">
        <f t="shared" si="228"/>
        <v>389.51</v>
      </c>
      <c r="AS95" s="68">
        <f t="shared" si="235"/>
        <v>0</v>
      </c>
      <c r="AT95" s="68">
        <f t="shared" si="235"/>
        <v>0</v>
      </c>
      <c r="AU95" s="68">
        <f t="shared" si="235"/>
        <v>0</v>
      </c>
      <c r="AV95" s="68">
        <f t="shared" ref="AV95:AV100" si="250">SUM(AR95)-SUM(Z95)</f>
        <v>36.19</v>
      </c>
      <c r="AW95" s="400">
        <f t="shared" si="243"/>
        <v>0.10242839352428393</v>
      </c>
      <c r="BM95" s="450">
        <f t="shared" si="173"/>
        <v>0</v>
      </c>
      <c r="BN95" s="450">
        <f t="shared" si="173"/>
        <v>35.944690999999992</v>
      </c>
      <c r="BO95" s="450">
        <f t="shared" si="173"/>
        <v>0</v>
      </c>
      <c r="BP95" s="450">
        <f t="shared" si="173"/>
        <v>0</v>
      </c>
      <c r="BQ95" s="450">
        <f t="shared" si="175"/>
        <v>0</v>
      </c>
      <c r="BS95" s="442">
        <f t="shared" si="158"/>
        <v>0</v>
      </c>
      <c r="BT95" s="442">
        <f t="shared" si="238"/>
        <v>35.944690999999992</v>
      </c>
      <c r="BU95" s="442">
        <f t="shared" si="239"/>
        <v>0</v>
      </c>
      <c r="BV95" s="442">
        <f t="shared" si="240"/>
        <v>0</v>
      </c>
      <c r="BW95" s="442">
        <f t="shared" si="241"/>
        <v>0</v>
      </c>
      <c r="CV95" s="505"/>
      <c r="CW95" s="505"/>
      <c r="CX95" s="505"/>
      <c r="CY95" s="505"/>
      <c r="CZ95" s="505"/>
      <c r="DA95" s="505"/>
      <c r="DB95" s="505"/>
      <c r="FA95" s="455"/>
      <c r="FB95" s="455"/>
      <c r="FC95" s="455"/>
      <c r="FD95" s="455"/>
      <c r="FE95" s="455"/>
      <c r="FF95" s="455"/>
      <c r="FG95" s="455"/>
      <c r="FH95" s="455"/>
      <c r="FI95" s="455"/>
      <c r="FJ95" s="455"/>
      <c r="FK95" s="455"/>
      <c r="FL95" s="455"/>
      <c r="FM95" s="455"/>
      <c r="FN95" s="455"/>
      <c r="FO95" s="455"/>
    </row>
    <row r="96" spans="1:172">
      <c r="B96" s="714">
        <v>2</v>
      </c>
      <c r="C96" s="715" t="s">
        <v>98</v>
      </c>
      <c r="D96" s="714">
        <v>845</v>
      </c>
      <c r="E96" s="716">
        <v>1</v>
      </c>
      <c r="F96" s="717"/>
      <c r="G96" s="717" t="str">
        <f t="shared" si="203"/>
        <v>044845</v>
      </c>
      <c r="H96" s="271"/>
      <c r="I96" s="505" t="s">
        <v>605</v>
      </c>
      <c r="J96" s="505" t="s">
        <v>113</v>
      </c>
      <c r="K96" s="443" t="s">
        <v>534</v>
      </c>
      <c r="L96" s="445" t="s">
        <v>663</v>
      </c>
      <c r="M96" s="444">
        <f t="shared" si="230"/>
        <v>0</v>
      </c>
      <c r="N96" s="444">
        <f t="shared" si="230"/>
        <v>4</v>
      </c>
      <c r="O96" s="444">
        <f t="shared" si="230"/>
        <v>0</v>
      </c>
      <c r="P96" s="444">
        <f t="shared" si="230"/>
        <v>0</v>
      </c>
      <c r="Q96" s="444">
        <f t="shared" si="230"/>
        <v>0</v>
      </c>
      <c r="R96" s="444">
        <f t="shared" si="225"/>
        <v>0</v>
      </c>
      <c r="S96" s="470">
        <v>0</v>
      </c>
      <c r="T96" s="487">
        <v>35.19</v>
      </c>
      <c r="U96" s="470">
        <v>0</v>
      </c>
      <c r="V96" s="470">
        <v>0</v>
      </c>
      <c r="W96" s="470">
        <v>0</v>
      </c>
      <c r="X96" s="505"/>
      <c r="Y96" s="68">
        <f t="shared" ref="Y96" si="251">IF(AND(M96&lt;&gt;0,S96=0),#VALUE!,M96*S96)</f>
        <v>0</v>
      </c>
      <c r="Z96" s="68">
        <f t="shared" si="248"/>
        <v>140.76</v>
      </c>
      <c r="AA96" s="68">
        <f t="shared" si="246"/>
        <v>0</v>
      </c>
      <c r="AB96" s="68">
        <f>IF(AND(P96&lt;&gt;0,V96=0),#VALUE!,P96*V96)</f>
        <v>0</v>
      </c>
      <c r="AC96" s="68">
        <f t="shared" si="247"/>
        <v>0</v>
      </c>
      <c r="AD96" s="505"/>
      <c r="AE96" s="444">
        <f t="shared" si="237"/>
        <v>0</v>
      </c>
      <c r="AF96" s="444">
        <f t="shared" si="237"/>
        <v>4</v>
      </c>
      <c r="AG96" s="444">
        <f t="shared" si="237"/>
        <v>0</v>
      </c>
      <c r="AH96" s="444">
        <f t="shared" si="237"/>
        <v>0</v>
      </c>
      <c r="AI96" s="444">
        <f t="shared" si="237"/>
        <v>0</v>
      </c>
      <c r="AJ96" s="505"/>
      <c r="AK96" s="449">
        <f t="shared" si="249"/>
        <v>0</v>
      </c>
      <c r="AL96" s="449">
        <f>AL97-AL104</f>
        <v>39.56</v>
      </c>
      <c r="AM96" s="449">
        <f t="shared" si="233"/>
        <v>0</v>
      </c>
      <c r="AN96" s="449">
        <f t="shared" si="232"/>
        <v>0</v>
      </c>
      <c r="AO96" s="449">
        <f t="shared" si="231"/>
        <v>0</v>
      </c>
      <c r="AP96" s="505"/>
      <c r="AQ96" s="68">
        <f t="shared" si="234"/>
        <v>0</v>
      </c>
      <c r="AR96" s="68">
        <f t="shared" ref="AR96" si="252">IF(AND(AF96&lt;&gt;0,AL96=0),#VALUE!,AF96*AL96)</f>
        <v>158.24</v>
      </c>
      <c r="AS96" s="68">
        <f t="shared" si="235"/>
        <v>0</v>
      </c>
      <c r="AT96" s="68">
        <f t="shared" si="235"/>
        <v>0</v>
      </c>
      <c r="AU96" s="68">
        <f t="shared" si="235"/>
        <v>0</v>
      </c>
      <c r="AV96" s="68">
        <f t="shared" si="250"/>
        <v>17.480000000000018</v>
      </c>
      <c r="AW96" s="400">
        <f t="shared" si="243"/>
        <v>0.12418300653594785</v>
      </c>
      <c r="AX96" s="454">
        <v>83</v>
      </c>
      <c r="AY96" s="446"/>
      <c r="AZ96" s="446">
        <v>28.981104999999992</v>
      </c>
      <c r="BA96" s="446"/>
      <c r="BB96" s="446"/>
      <c r="BC96" s="446"/>
      <c r="BD96" s="446"/>
      <c r="BE96" s="452">
        <f t="shared" ref="BE96" si="253">ROUND(AX96*$BE$2,2)+ROUND(AX96*$BE$1,2)</f>
        <v>0.18999999999999995</v>
      </c>
      <c r="BF96" s="442"/>
      <c r="BG96" s="442">
        <f>ROUND((T96*$BF$2)+$BE96-AZ96,2)</f>
        <v>6.93</v>
      </c>
      <c r="BH96" s="442"/>
      <c r="BI96" s="442"/>
      <c r="BJ96" s="442"/>
      <c r="BK96" s="505"/>
      <c r="BL96" s="505"/>
      <c r="BM96" s="450">
        <f t="shared" si="173"/>
        <v>0</v>
      </c>
      <c r="BN96" s="450">
        <f t="shared" si="173"/>
        <v>40.157356</v>
      </c>
      <c r="BO96" s="450">
        <f t="shared" si="173"/>
        <v>0</v>
      </c>
      <c r="BP96" s="450">
        <f t="shared" si="173"/>
        <v>0</v>
      </c>
      <c r="BQ96" s="450">
        <f t="shared" si="175"/>
        <v>0</v>
      </c>
      <c r="BR96" s="505"/>
      <c r="BS96" s="442">
        <f t="shared" si="158"/>
        <v>0</v>
      </c>
      <c r="BT96" s="442">
        <f t="shared" si="238"/>
        <v>11.176251000000008</v>
      </c>
      <c r="BU96" s="442">
        <f t="shared" si="239"/>
        <v>0</v>
      </c>
      <c r="BV96" s="442">
        <f t="shared" si="240"/>
        <v>0</v>
      </c>
      <c r="BW96" s="442">
        <f t="shared" si="241"/>
        <v>0</v>
      </c>
      <c r="CU96" s="505"/>
      <c r="FA96" s="455"/>
      <c r="FB96" s="455"/>
      <c r="FC96" s="455"/>
      <c r="FD96" s="455"/>
      <c r="FE96" s="455"/>
      <c r="FF96" s="455"/>
      <c r="FG96" s="455"/>
      <c r="FH96" s="455"/>
      <c r="FI96" s="455"/>
      <c r="FJ96" s="455"/>
      <c r="FK96" s="455"/>
      <c r="FL96" s="455"/>
      <c r="FM96" s="455"/>
      <c r="FN96" s="455"/>
      <c r="FO96" s="455"/>
      <c r="FP96" s="455"/>
    </row>
    <row r="97" spans="1:180" s="637" customFormat="1">
      <c r="B97" s="714"/>
      <c r="C97" s="714"/>
      <c r="D97" s="714"/>
      <c r="E97" s="849">
        <f>SUM(E83:E96)</f>
        <v>152</v>
      </c>
      <c r="F97" s="850"/>
      <c r="G97" s="717" t="str">
        <f t="shared" si="203"/>
        <v/>
      </c>
      <c r="H97" s="271"/>
      <c r="I97" s="380" t="s">
        <v>605</v>
      </c>
      <c r="J97" s="480" t="s">
        <v>113</v>
      </c>
      <c r="K97" s="443" t="s">
        <v>534</v>
      </c>
      <c r="L97" s="445" t="s">
        <v>538</v>
      </c>
      <c r="M97" s="444">
        <f t="shared" si="230"/>
        <v>0</v>
      </c>
      <c r="N97" s="444">
        <f t="shared" si="230"/>
        <v>1</v>
      </c>
      <c r="O97" s="444">
        <f t="shared" si="230"/>
        <v>0</v>
      </c>
      <c r="P97" s="444">
        <f t="shared" si="230"/>
        <v>0</v>
      </c>
      <c r="Q97" s="444">
        <f t="shared" si="230"/>
        <v>0</v>
      </c>
      <c r="R97" s="444">
        <f t="shared" si="225"/>
        <v>0</v>
      </c>
      <c r="S97" s="470">
        <v>0</v>
      </c>
      <c r="T97" s="720">
        <v>42.65</v>
      </c>
      <c r="U97" s="720">
        <v>0</v>
      </c>
      <c r="V97" s="720">
        <v>0</v>
      </c>
      <c r="W97" s="720">
        <v>0</v>
      </c>
      <c r="X97" s="480"/>
      <c r="Y97" s="480"/>
      <c r="Z97" s="68">
        <f t="shared" si="248"/>
        <v>42.65</v>
      </c>
      <c r="AA97" s="68">
        <f t="shared" si="246"/>
        <v>0</v>
      </c>
      <c r="AB97" s="480"/>
      <c r="AC97" s="68">
        <f t="shared" si="247"/>
        <v>0</v>
      </c>
      <c r="AD97" s="480"/>
      <c r="AE97" s="444">
        <f t="shared" si="237"/>
        <v>0</v>
      </c>
      <c r="AF97" s="444">
        <f t="shared" si="237"/>
        <v>1</v>
      </c>
      <c r="AG97" s="444">
        <f t="shared" si="237"/>
        <v>0</v>
      </c>
      <c r="AH97" s="444">
        <f t="shared" si="237"/>
        <v>0</v>
      </c>
      <c r="AI97" s="444">
        <f t="shared" si="237"/>
        <v>0</v>
      </c>
      <c r="AJ97" s="480"/>
      <c r="AK97" s="449">
        <f t="shared" si="249"/>
        <v>0</v>
      </c>
      <c r="AL97" s="449">
        <f>ROUND(T97*(1+AL$1),2)</f>
        <v>47.02</v>
      </c>
      <c r="AM97" s="449">
        <f t="shared" si="233"/>
        <v>0</v>
      </c>
      <c r="AN97" s="449">
        <f t="shared" si="232"/>
        <v>0</v>
      </c>
      <c r="AO97" s="449">
        <f t="shared" si="231"/>
        <v>0</v>
      </c>
      <c r="AP97" s="480"/>
      <c r="AQ97" s="68">
        <f t="shared" ref="AQ97" si="254">IF(AND(AE97&lt;&gt;0,AK97=0),#VALUE!,AE97*AK97)</f>
        <v>0</v>
      </c>
      <c r="AR97" s="68">
        <f t="shared" ref="AR97" si="255">IF(AND(AF97&lt;&gt;0,AL97=0),#VALUE!,AF97*AL97)</f>
        <v>47.02</v>
      </c>
      <c r="AS97" s="68">
        <f t="shared" ref="AS97" si="256">IF(AND(AG97&lt;&gt;0,AM97=0),#VALUE!,AG97*AM97)</f>
        <v>0</v>
      </c>
      <c r="AT97" s="68">
        <f t="shared" ref="AT97" si="257">IF(AND(AH97&lt;&gt;0,AN97=0),#VALUE!,AH97*AN97)</f>
        <v>0</v>
      </c>
      <c r="AU97" s="68">
        <f t="shared" ref="AU97" si="258">IF(AND(AI97&lt;&gt;0,AO97=0),#VALUE!,AI97*AO97)</f>
        <v>0</v>
      </c>
      <c r="AV97"/>
      <c r="AW97" s="551"/>
      <c r="AX97" s="390">
        <v>83</v>
      </c>
      <c r="AY97"/>
      <c r="AZ97">
        <v>36.1</v>
      </c>
      <c r="BA97"/>
      <c r="BB97"/>
      <c r="BC97"/>
      <c r="BD97" s="390"/>
      <c r="BE97" s="452">
        <f>ROUND(AX97*$BE$2,2)+ROUND(AX97*$BE$1,2)</f>
        <v>0.18999999999999995</v>
      </c>
      <c r="BF97" s="442"/>
      <c r="BG97" s="442">
        <f>ROUND((T97*$BF$2)+$BE97-AZ97,2)</f>
        <v>7.38</v>
      </c>
      <c r="BH97"/>
      <c r="BI97"/>
      <c r="BJ97"/>
      <c r="BK97"/>
      <c r="BL97"/>
      <c r="BM97" s="450">
        <f t="shared" si="173"/>
        <v>0</v>
      </c>
      <c r="BN97" s="450">
        <f t="shared" si="173"/>
        <v>47.730001999999999</v>
      </c>
      <c r="BO97" s="450">
        <f t="shared" si="173"/>
        <v>0</v>
      </c>
      <c r="BP97" s="450">
        <f t="shared" si="173"/>
        <v>0</v>
      </c>
      <c r="BQ97" s="450">
        <f t="shared" si="175"/>
        <v>0</v>
      </c>
      <c r="BR97"/>
      <c r="BS97" s="442">
        <f t="shared" si="158"/>
        <v>0</v>
      </c>
      <c r="BT97" s="442">
        <f t="shared" si="238"/>
        <v>11.630001999999998</v>
      </c>
      <c r="BU97" s="442">
        <f t="shared" si="239"/>
        <v>0</v>
      </c>
      <c r="BV97" s="442">
        <f t="shared" si="240"/>
        <v>0</v>
      </c>
      <c r="BW97" s="442">
        <f t="shared" si="241"/>
        <v>0</v>
      </c>
    </row>
    <row r="98" spans="1:180">
      <c r="B98" s="714"/>
      <c r="C98" s="714"/>
      <c r="D98" s="714"/>
      <c r="E98" s="18"/>
      <c r="F98" s="18"/>
      <c r="G98" s="717" t="str">
        <f t="shared" ref="G98:G130" si="259">IF(OR(ISBLANK(C98),ISBLANK(D98)),"",TEXT(C98,"000")&amp;TEXT(D98,"000"))</f>
        <v/>
      </c>
      <c r="H98" s="271"/>
      <c r="I98" t="s">
        <v>116</v>
      </c>
      <c r="J98" t="s">
        <v>86</v>
      </c>
      <c r="K98" s="57" t="s">
        <v>124</v>
      </c>
      <c r="L98" s="91">
        <v>842</v>
      </c>
      <c r="M98" s="67">
        <f t="shared" si="230"/>
        <v>0</v>
      </c>
      <c r="N98" s="67">
        <f t="shared" si="230"/>
        <v>2</v>
      </c>
      <c r="O98" s="67">
        <f t="shared" si="230"/>
        <v>0</v>
      </c>
      <c r="P98" s="67">
        <f t="shared" si="230"/>
        <v>0</v>
      </c>
      <c r="Q98" s="67">
        <f t="shared" si="230"/>
        <v>0</v>
      </c>
      <c r="R98" s="444">
        <f t="shared" si="225"/>
        <v>0</v>
      </c>
      <c r="S98" s="470">
        <v>0</v>
      </c>
      <c r="T98" s="470">
        <v>107.62</v>
      </c>
      <c r="U98" s="470">
        <v>0</v>
      </c>
      <c r="V98" s="470">
        <v>0</v>
      </c>
      <c r="W98" s="470">
        <v>0</v>
      </c>
      <c r="Y98" s="68">
        <f t="shared" ref="Y98:Z100" si="260">IF(AND(M98&lt;&gt;0,S98=0),#VALUE!,M98*S98)</f>
        <v>0</v>
      </c>
      <c r="Z98" s="68">
        <f t="shared" si="260"/>
        <v>215.24</v>
      </c>
      <c r="AA98" s="68">
        <f t="shared" si="246"/>
        <v>0</v>
      </c>
      <c r="AB98" s="68">
        <f>IF(AND(P98&lt;&gt;0,V98=0),#VALUE!,P98*V98)</f>
        <v>0</v>
      </c>
      <c r="AC98" s="68">
        <f t="shared" si="247"/>
        <v>0</v>
      </c>
      <c r="AE98" s="444">
        <f t="shared" si="237"/>
        <v>0</v>
      </c>
      <c r="AF98" s="444">
        <f t="shared" si="237"/>
        <v>2</v>
      </c>
      <c r="AG98" s="444">
        <f t="shared" si="237"/>
        <v>0</v>
      </c>
      <c r="AH98" s="444">
        <f t="shared" si="237"/>
        <v>0</v>
      </c>
      <c r="AI98" s="444">
        <f t="shared" si="237"/>
        <v>0</v>
      </c>
      <c r="AK98" s="449">
        <f t="shared" si="249"/>
        <v>0</v>
      </c>
      <c r="AL98" s="449">
        <f>ROUND(T98*(1+AL$1),2)</f>
        <v>118.64</v>
      </c>
      <c r="AM98" s="449">
        <f t="shared" si="233"/>
        <v>0</v>
      </c>
      <c r="AN98" s="449">
        <f t="shared" si="232"/>
        <v>0</v>
      </c>
      <c r="AO98" s="449">
        <f t="shared" si="231"/>
        <v>0</v>
      </c>
      <c r="AQ98" s="68">
        <f t="shared" ref="AQ98:AU100" si="261">IF(AND(AE98&lt;&gt;0,AK98=0),#VALUE!,AE98*AK98)</f>
        <v>0</v>
      </c>
      <c r="AR98" s="68">
        <f t="shared" si="261"/>
        <v>237.28</v>
      </c>
      <c r="AS98" s="68">
        <f t="shared" si="261"/>
        <v>0</v>
      </c>
      <c r="AT98" s="68">
        <f t="shared" si="261"/>
        <v>0</v>
      </c>
      <c r="AU98" s="68">
        <f t="shared" si="261"/>
        <v>0</v>
      </c>
      <c r="AV98" s="68">
        <f t="shared" si="250"/>
        <v>22.039999999999992</v>
      </c>
      <c r="AW98" s="400">
        <f t="shared" si="243"/>
        <v>0.10239732391748742</v>
      </c>
      <c r="AX98" s="392">
        <v>338</v>
      </c>
      <c r="AY98" s="446"/>
      <c r="AZ98" s="446">
        <v>100.25127599999999</v>
      </c>
      <c r="BA98" s="446"/>
      <c r="BB98" s="446"/>
      <c r="BC98" s="446"/>
      <c r="BD98" s="131"/>
      <c r="BE98" s="452">
        <f>ROUND(AX98*$BE$2,2)+ROUND(AX98*$BE$1,2)</f>
        <v>0.75</v>
      </c>
      <c r="BF98" s="52"/>
      <c r="BG98" s="52">
        <f>ROUND((T98*$BF$2)+$BE98-AZ98,2)</f>
        <v>9.74</v>
      </c>
      <c r="BH98" s="52"/>
      <c r="BI98" s="52"/>
      <c r="BJ98" s="52"/>
      <c r="BM98" s="450">
        <f t="shared" si="173"/>
        <v>0</v>
      </c>
      <c r="BN98" s="450">
        <f t="shared" si="173"/>
        <v>120.43146399999999</v>
      </c>
      <c r="BO98" s="450">
        <f t="shared" si="173"/>
        <v>0</v>
      </c>
      <c r="BP98" s="450">
        <f t="shared" si="173"/>
        <v>0</v>
      </c>
      <c r="BQ98" s="450">
        <f t="shared" si="175"/>
        <v>0</v>
      </c>
      <c r="BS98" s="442">
        <f t="shared" si="158"/>
        <v>0</v>
      </c>
      <c r="BT98" s="442">
        <f t="shared" si="238"/>
        <v>20.180188000000001</v>
      </c>
      <c r="BU98" s="442">
        <f t="shared" si="239"/>
        <v>0</v>
      </c>
      <c r="BV98" s="442">
        <f t="shared" si="240"/>
        <v>0</v>
      </c>
      <c r="BW98" s="442">
        <f t="shared" si="241"/>
        <v>0</v>
      </c>
      <c r="BX98" s="488"/>
      <c r="BY98" s="488"/>
      <c r="BZ98" s="488"/>
      <c r="CA98" s="488"/>
      <c r="CB98" s="488"/>
      <c r="CC98" s="488"/>
      <c r="CD98" s="488"/>
      <c r="CE98" s="488"/>
      <c r="CF98" s="488"/>
      <c r="CG98" s="488"/>
      <c r="CH98" s="488"/>
      <c r="CI98" s="488"/>
      <c r="CJ98" s="488"/>
      <c r="CK98" s="488"/>
      <c r="CL98" s="488"/>
      <c r="CM98" s="488"/>
      <c r="CN98" s="488"/>
      <c r="CO98" s="488"/>
      <c r="CP98" s="488"/>
      <c r="CQ98" s="488"/>
      <c r="CR98" s="488"/>
      <c r="CS98" s="488"/>
      <c r="CT98" s="488"/>
      <c r="DC98" s="505"/>
      <c r="DD98" s="505"/>
      <c r="DE98" s="505"/>
      <c r="DF98" s="505"/>
      <c r="DG98" s="505"/>
      <c r="FP98" s="455"/>
      <c r="FQ98" s="455"/>
      <c r="FR98" s="455"/>
    </row>
    <row r="99" spans="1:180">
      <c r="B99" s="714">
        <v>2</v>
      </c>
      <c r="C99" s="715" t="s">
        <v>99</v>
      </c>
      <c r="D99" s="714">
        <v>415</v>
      </c>
      <c r="E99" s="716">
        <v>61</v>
      </c>
      <c r="F99" s="717"/>
      <c r="G99" s="717" t="str">
        <f t="shared" si="259"/>
        <v>045415</v>
      </c>
      <c r="H99" s="271"/>
      <c r="I99" t="s">
        <v>116</v>
      </c>
      <c r="J99" t="s">
        <v>84</v>
      </c>
      <c r="K99" s="57" t="s">
        <v>124</v>
      </c>
      <c r="L99" s="91">
        <v>845</v>
      </c>
      <c r="M99" s="67">
        <f>SUMIF($G:$G,TEXT(M$3,"000")&amp;TEXT($L99,"000"),$E:$E)</f>
        <v>0</v>
      </c>
      <c r="N99" s="444">
        <f t="shared" ref="N99:P103" si="262">SUMIF($G:$G,TEXT(N$3,"000")&amp;TEXT($L99,"000"),$E:$E)</f>
        <v>0</v>
      </c>
      <c r="O99" s="67">
        <f>SUMIF($G:$G,TEXT(O$3,"000")&amp;TEXT($L99,"000"),$E:$E)</f>
        <v>1</v>
      </c>
      <c r="P99" s="67">
        <f>SUMIF($G:$G,TEXT(P$3,"000")&amp;TEXT($L99,"000"),$E:$E)</f>
        <v>0</v>
      </c>
      <c r="Q99" s="444">
        <f t="shared" ref="Q99:Q102" si="263">SUMIF($G:$G,TEXT(Q$3,"000")&amp;TEXT($L99,"000"),$E:$E)</f>
        <v>0</v>
      </c>
      <c r="R99" s="444">
        <f t="shared" ref="R99:R100" si="264">IF(SUM(M99:Q99)&gt;0,0,1)</f>
        <v>0</v>
      </c>
      <c r="S99" s="470">
        <v>0</v>
      </c>
      <c r="T99" s="470">
        <v>0</v>
      </c>
      <c r="U99" s="470">
        <v>45.18</v>
      </c>
      <c r="V99" s="470">
        <v>0</v>
      </c>
      <c r="W99" s="470">
        <v>0</v>
      </c>
      <c r="Y99" s="68">
        <f t="shared" si="260"/>
        <v>0</v>
      </c>
      <c r="Z99" s="68">
        <f t="shared" si="260"/>
        <v>0</v>
      </c>
      <c r="AA99" s="68">
        <f t="shared" si="246"/>
        <v>45.18</v>
      </c>
      <c r="AB99" s="68">
        <f>IF(AND(P99&lt;&gt;0,V99=0),#VALUE!,P99*V99)</f>
        <v>0</v>
      </c>
      <c r="AC99" s="68">
        <f t="shared" si="247"/>
        <v>0</v>
      </c>
      <c r="AE99" s="444">
        <f t="shared" si="237"/>
        <v>0</v>
      </c>
      <c r="AF99" s="444">
        <f t="shared" si="237"/>
        <v>0</v>
      </c>
      <c r="AG99" s="444">
        <f t="shared" si="237"/>
        <v>1</v>
      </c>
      <c r="AH99" s="444">
        <f t="shared" si="237"/>
        <v>0</v>
      </c>
      <c r="AI99" s="444">
        <f t="shared" si="237"/>
        <v>0</v>
      </c>
      <c r="AK99" s="449">
        <f t="shared" si="249"/>
        <v>0</v>
      </c>
      <c r="AL99" s="449">
        <f>ROUND(T99*(1+AL$1),2)</f>
        <v>0</v>
      </c>
      <c r="AM99" s="449">
        <f t="shared" si="233"/>
        <v>50.12</v>
      </c>
      <c r="AN99" s="449">
        <f t="shared" si="232"/>
        <v>0</v>
      </c>
      <c r="AO99" s="449">
        <f t="shared" si="231"/>
        <v>0</v>
      </c>
      <c r="AQ99" s="68">
        <f t="shared" si="261"/>
        <v>0</v>
      </c>
      <c r="AR99" s="68">
        <f t="shared" si="261"/>
        <v>0</v>
      </c>
      <c r="AS99" s="68">
        <f t="shared" si="261"/>
        <v>50.12</v>
      </c>
      <c r="AT99" s="68">
        <f t="shared" si="261"/>
        <v>0</v>
      </c>
      <c r="AU99" s="68">
        <f t="shared" si="261"/>
        <v>0</v>
      </c>
      <c r="AV99" s="68">
        <f t="shared" si="250"/>
        <v>0</v>
      </c>
      <c r="AW99" s="400" t="e">
        <f t="shared" si="243"/>
        <v>#DIV/0!</v>
      </c>
      <c r="AX99" s="392">
        <v>338</v>
      </c>
      <c r="AY99" s="446"/>
      <c r="AZ99" s="446"/>
      <c r="BA99" s="446">
        <v>41.568345000000001</v>
      </c>
      <c r="BB99" s="446"/>
      <c r="BC99" s="446"/>
      <c r="BD99" s="131"/>
      <c r="BE99" s="452">
        <f>ROUND(AX99*$BE$2,2)+ROUND(AX99*$BE$1,2)</f>
        <v>0.75</v>
      </c>
      <c r="BF99" s="52"/>
      <c r="BG99" s="52"/>
      <c r="BH99" s="52">
        <f>ROUND((U99*$BF$2)+$BE99-BA99,2)</f>
        <v>5.04</v>
      </c>
      <c r="BI99" s="52"/>
      <c r="BJ99" s="52"/>
      <c r="BM99" s="450">
        <f t="shared" si="173"/>
        <v>0</v>
      </c>
      <c r="BN99" s="450">
        <f t="shared" si="173"/>
        <v>0</v>
      </c>
      <c r="BO99" s="450">
        <f t="shared" si="173"/>
        <v>50.876811999999994</v>
      </c>
      <c r="BP99" s="450">
        <f t="shared" si="173"/>
        <v>0</v>
      </c>
      <c r="BQ99" s="450">
        <f t="shared" si="175"/>
        <v>0</v>
      </c>
      <c r="BS99" s="442">
        <f t="shared" si="158"/>
        <v>0</v>
      </c>
      <c r="BT99" s="442">
        <f t="shared" si="238"/>
        <v>0</v>
      </c>
      <c r="BU99" s="442">
        <f t="shared" si="239"/>
        <v>9.3084669999999932</v>
      </c>
      <c r="BV99" s="442">
        <f t="shared" si="240"/>
        <v>0</v>
      </c>
      <c r="BW99" s="442">
        <f t="shared" si="241"/>
        <v>0</v>
      </c>
      <c r="FQ99" s="455"/>
      <c r="FR99" s="455"/>
      <c r="FS99" s="455"/>
      <c r="FT99" s="455"/>
      <c r="FU99" s="455"/>
      <c r="FV99" s="455"/>
      <c r="FW99" s="455"/>
    </row>
    <row r="100" spans="1:180">
      <c r="B100" s="714"/>
      <c r="C100" s="715"/>
      <c r="D100" s="714"/>
      <c r="E100" s="716"/>
      <c r="F100" s="717"/>
      <c r="G100" s="717"/>
      <c r="H100" s="271"/>
      <c r="I100" t="s">
        <v>105</v>
      </c>
      <c r="J100" t="s">
        <v>125</v>
      </c>
      <c r="K100" s="72" t="s">
        <v>126</v>
      </c>
      <c r="L100" s="91">
        <v>935</v>
      </c>
      <c r="M100" s="67">
        <f>SUMIF($G:$G,TEXT(M$3,"000")&amp;TEXT($L100,"000"),$E:$E)</f>
        <v>0</v>
      </c>
      <c r="N100" s="444">
        <f t="shared" si="262"/>
        <v>0</v>
      </c>
      <c r="O100" s="444">
        <f t="shared" si="262"/>
        <v>0</v>
      </c>
      <c r="P100" s="444">
        <f t="shared" si="262"/>
        <v>0</v>
      </c>
      <c r="Q100" s="444">
        <f t="shared" si="263"/>
        <v>59</v>
      </c>
      <c r="R100" s="444">
        <f t="shared" si="264"/>
        <v>0</v>
      </c>
      <c r="S100" s="470">
        <v>0</v>
      </c>
      <c r="T100" s="470">
        <v>0</v>
      </c>
      <c r="U100" s="470">
        <v>0</v>
      </c>
      <c r="V100" s="470">
        <v>0</v>
      </c>
      <c r="W100" s="470">
        <v>8.1199999999999992</v>
      </c>
      <c r="Y100" s="68">
        <f t="shared" si="260"/>
        <v>0</v>
      </c>
      <c r="Z100" s="68">
        <f t="shared" si="260"/>
        <v>0</v>
      </c>
      <c r="AA100" s="68">
        <f>IF(AND(O100&lt;&gt;0,U100=0),#VALUE!,O100*U100)</f>
        <v>0</v>
      </c>
      <c r="AB100" s="68">
        <f>IF(AND(P100&lt;&gt;0,V100=0),#VALUE!,P100*V100)</f>
        <v>0</v>
      </c>
      <c r="AC100" s="68">
        <f t="shared" si="247"/>
        <v>479.07999999999993</v>
      </c>
      <c r="AE100" s="444">
        <f t="shared" si="237"/>
        <v>0</v>
      </c>
      <c r="AF100" s="444">
        <f t="shared" si="237"/>
        <v>0</v>
      </c>
      <c r="AG100" s="444">
        <f t="shared" si="237"/>
        <v>0</v>
      </c>
      <c r="AH100" s="444">
        <f t="shared" si="237"/>
        <v>0</v>
      </c>
      <c r="AI100" s="444">
        <f t="shared" si="237"/>
        <v>59</v>
      </c>
      <c r="AK100" s="449">
        <f t="shared" si="249"/>
        <v>0</v>
      </c>
      <c r="AL100" s="449">
        <f>ROUND(T100*(1+AL$1),2)</f>
        <v>0</v>
      </c>
      <c r="AM100" s="449">
        <f t="shared" si="233"/>
        <v>0</v>
      </c>
      <c r="AN100" s="449">
        <f t="shared" si="232"/>
        <v>0</v>
      </c>
      <c r="AO100" s="449">
        <f t="shared" si="231"/>
        <v>9.01</v>
      </c>
      <c r="AQ100" s="68">
        <f t="shared" si="261"/>
        <v>0</v>
      </c>
      <c r="AR100" s="68">
        <f t="shared" si="261"/>
        <v>0</v>
      </c>
      <c r="AS100" s="68">
        <f t="shared" si="261"/>
        <v>0</v>
      </c>
      <c r="AT100" s="68">
        <f t="shared" si="261"/>
        <v>0</v>
      </c>
      <c r="AU100" s="68">
        <f t="shared" si="261"/>
        <v>531.59</v>
      </c>
      <c r="AV100" s="68">
        <f t="shared" si="250"/>
        <v>0</v>
      </c>
      <c r="AW100" s="400" t="e">
        <f t="shared" si="243"/>
        <v>#DIV/0!</v>
      </c>
      <c r="AX100" s="392">
        <v>62</v>
      </c>
      <c r="AY100" s="446"/>
      <c r="AZ100" s="446"/>
      <c r="BA100" s="446"/>
      <c r="BB100" s="446"/>
      <c r="BC100" s="446">
        <v>7.4711359999999996</v>
      </c>
      <c r="BD100" s="131"/>
      <c r="BE100" s="452">
        <f>ROUND(AX100*$BE$2,2)+ROUND(AX100*$BE$1,2)</f>
        <v>0.13</v>
      </c>
      <c r="BF100" s="52"/>
      <c r="BG100" s="52"/>
      <c r="BH100" s="52"/>
      <c r="BI100" s="52"/>
      <c r="BJ100" s="52">
        <f>ROUND((W100*$BF$2)+$BE100-BC100,2)</f>
        <v>0.9</v>
      </c>
      <c r="BM100" s="450">
        <f t="shared" si="173"/>
        <v>0</v>
      </c>
      <c r="BN100" s="450">
        <f t="shared" si="173"/>
        <v>0</v>
      </c>
      <c r="BO100" s="450">
        <f t="shared" si="173"/>
        <v>0</v>
      </c>
      <c r="BP100" s="450">
        <f t="shared" si="173"/>
        <v>0</v>
      </c>
      <c r="BQ100" s="450">
        <f t="shared" si="175"/>
        <v>9.1460509999999982</v>
      </c>
      <c r="BS100" s="442">
        <f t="shared" si="158"/>
        <v>0</v>
      </c>
      <c r="BT100" s="442">
        <f t="shared" si="238"/>
        <v>0</v>
      </c>
      <c r="BU100" s="442">
        <f t="shared" si="239"/>
        <v>0</v>
      </c>
      <c r="BV100" s="442">
        <f t="shared" si="240"/>
        <v>0</v>
      </c>
      <c r="BW100" s="442">
        <f t="shared" si="241"/>
        <v>1.6749149999999986</v>
      </c>
      <c r="BX100" s="505"/>
      <c r="BY100" s="505"/>
      <c r="BZ100" s="505"/>
      <c r="CA100" s="505"/>
      <c r="CB100" s="505"/>
      <c r="CC100" s="505"/>
      <c r="CD100" s="505"/>
      <c r="CE100" s="505"/>
      <c r="CF100" s="505"/>
      <c r="CG100" s="505"/>
      <c r="CH100" s="505"/>
      <c r="CI100" s="505"/>
      <c r="CJ100" s="505"/>
      <c r="CK100" s="505"/>
      <c r="CL100" s="505"/>
      <c r="CM100" s="505"/>
      <c r="CN100" s="505"/>
      <c r="CO100" s="505"/>
      <c r="CP100" s="505"/>
      <c r="CQ100" s="505"/>
      <c r="CR100" s="505"/>
      <c r="CS100" s="505"/>
      <c r="CT100" s="505"/>
      <c r="FS100" s="455"/>
      <c r="FT100" s="455"/>
      <c r="FU100" s="455"/>
      <c r="FV100" s="455"/>
      <c r="FW100" s="455"/>
      <c r="FX100" s="455"/>
    </row>
    <row r="101" spans="1:180" s="637" customFormat="1">
      <c r="B101" s="714">
        <v>2</v>
      </c>
      <c r="C101" s="715" t="s">
        <v>99</v>
      </c>
      <c r="D101" s="714">
        <v>419</v>
      </c>
      <c r="E101" s="716">
        <v>16</v>
      </c>
      <c r="F101" s="717"/>
      <c r="G101" s="717" t="str">
        <f t="shared" si="259"/>
        <v>045419</v>
      </c>
      <c r="H101" s="271"/>
      <c r="I101" s="746" t="s">
        <v>605</v>
      </c>
      <c r="J101" s="746" t="s">
        <v>677</v>
      </c>
      <c r="K101" s="830" t="s">
        <v>124</v>
      </c>
      <c r="L101" s="287" t="s">
        <v>806</v>
      </c>
      <c r="M101" s="78"/>
      <c r="N101" s="78">
        <f t="shared" si="262"/>
        <v>4</v>
      </c>
      <c r="O101" s="78">
        <f t="shared" si="262"/>
        <v>0</v>
      </c>
      <c r="P101" s="78">
        <f t="shared" si="262"/>
        <v>0</v>
      </c>
      <c r="Q101" s="78">
        <f t="shared" si="263"/>
        <v>0</v>
      </c>
      <c r="R101" s="78"/>
      <c r="S101" s="470"/>
      <c r="T101" s="487">
        <v>44.12</v>
      </c>
      <c r="U101" s="470"/>
      <c r="V101" s="470"/>
      <c r="W101" s="470"/>
      <c r="Y101" s="68"/>
      <c r="Z101" s="68">
        <f>IF(AND(N101&lt;&gt;0,T101=0),#VALUE!,N101*T101)</f>
        <v>176.48</v>
      </c>
      <c r="AA101" s="68"/>
      <c r="AB101" s="68"/>
      <c r="AC101" s="68"/>
      <c r="AE101" s="444">
        <f t="shared" si="237"/>
        <v>0</v>
      </c>
      <c r="AF101" s="444">
        <f t="shared" si="237"/>
        <v>4</v>
      </c>
      <c r="AG101" s="444">
        <f t="shared" si="237"/>
        <v>0</v>
      </c>
      <c r="AH101" s="444">
        <f t="shared" si="237"/>
        <v>0</v>
      </c>
      <c r="AI101" s="444">
        <f t="shared" si="237"/>
        <v>0</v>
      </c>
      <c r="AJ101" s="728"/>
      <c r="AK101" s="449"/>
      <c r="AL101" s="449">
        <f>ROUND(T101*(1+AL$1),2)</f>
        <v>48.64</v>
      </c>
      <c r="AM101" s="449"/>
      <c r="AN101" s="449"/>
      <c r="AO101" s="449"/>
      <c r="AQ101" s="68">
        <f t="shared" ref="AQ101" si="265">IF(AND(AE101&lt;&gt;0,AK101=0),#VALUE!,AE101*AK101)</f>
        <v>0</v>
      </c>
      <c r="AR101" s="68">
        <f t="shared" ref="AR101" si="266">IF(AND(AF101&lt;&gt;0,AL101=0),#VALUE!,AF101*AL101)</f>
        <v>194.56</v>
      </c>
      <c r="AS101" s="68">
        <f t="shared" ref="AS101" si="267">IF(AND(AG101&lt;&gt;0,AM101=0),#VALUE!,AG101*AM101)</f>
        <v>0</v>
      </c>
      <c r="AT101" s="68">
        <f t="shared" ref="AT101" si="268">IF(AND(AH101&lt;&gt;0,AN101=0),#VALUE!,AH101*AN101)</f>
        <v>0</v>
      </c>
      <c r="AU101" s="68">
        <f t="shared" ref="AU101" si="269">IF(AND(AI101&lt;&gt;0,AO101=0),#VALUE!,AI101*AO101)</f>
        <v>0</v>
      </c>
      <c r="AV101" s="68"/>
      <c r="AW101" s="400"/>
      <c r="AX101" s="454"/>
      <c r="AY101" s="446"/>
      <c r="AZ101" s="446"/>
      <c r="BA101" s="446"/>
      <c r="BB101" s="446"/>
      <c r="BC101" s="446"/>
      <c r="BD101" s="446"/>
      <c r="BE101" s="452"/>
      <c r="BF101" s="442"/>
      <c r="BG101" s="442"/>
      <c r="BH101" s="442"/>
      <c r="BI101" s="442"/>
      <c r="BJ101" s="442"/>
      <c r="BM101" s="450"/>
      <c r="BN101" s="450">
        <f t="shared" si="173"/>
        <v>49.374463999999996</v>
      </c>
      <c r="BO101" s="450"/>
      <c r="BP101" s="450"/>
      <c r="BQ101" s="450"/>
      <c r="BS101" s="442"/>
      <c r="BT101" s="442">
        <f t="shared" si="238"/>
        <v>49.374463999999996</v>
      </c>
      <c r="BU101" s="442"/>
      <c r="BV101" s="442"/>
      <c r="BW101" s="442"/>
    </row>
    <row r="102" spans="1:180">
      <c r="B102" s="714">
        <v>2</v>
      </c>
      <c r="C102" s="715" t="s">
        <v>99</v>
      </c>
      <c r="D102" s="714">
        <v>515</v>
      </c>
      <c r="E102" s="716">
        <v>1</v>
      </c>
      <c r="F102" s="717"/>
      <c r="G102" s="717" t="str">
        <f t="shared" si="259"/>
        <v>045515</v>
      </c>
      <c r="H102" s="271"/>
      <c r="I102" s="485" t="s">
        <v>597</v>
      </c>
      <c r="J102" s="485"/>
      <c r="K102" s="72" t="s">
        <v>109</v>
      </c>
      <c r="L102" s="445"/>
      <c r="M102" s="444"/>
      <c r="N102" s="444">
        <f t="shared" si="262"/>
        <v>0</v>
      </c>
      <c r="O102" s="444">
        <f t="shared" si="262"/>
        <v>0</v>
      </c>
      <c r="P102" s="444">
        <f t="shared" si="262"/>
        <v>0</v>
      </c>
      <c r="Q102" s="444">
        <f t="shared" si="263"/>
        <v>0</v>
      </c>
      <c r="R102" s="78"/>
      <c r="S102" s="470"/>
      <c r="T102" s="470">
        <v>4.92</v>
      </c>
      <c r="U102">
        <v>0</v>
      </c>
      <c r="V102" s="470">
        <v>0</v>
      </c>
      <c r="W102" s="470">
        <v>0</v>
      </c>
      <c r="X102" s="485"/>
      <c r="Y102" s="68"/>
      <c r="Z102" s="68"/>
      <c r="AA102" s="68"/>
      <c r="AB102" s="68"/>
      <c r="AC102" s="68"/>
      <c r="AD102" s="485"/>
      <c r="AE102" s="444"/>
      <c r="AF102" s="444">
        <f t="shared" ref="AF102:AI103" si="270">SUMIF($G:$G,TEXT(AF$3,"000")&amp;TEXT($L102,"000"),$E:$E)</f>
        <v>0</v>
      </c>
      <c r="AG102" s="444">
        <f t="shared" si="270"/>
        <v>0</v>
      </c>
      <c r="AH102" s="444">
        <f t="shared" si="270"/>
        <v>0</v>
      </c>
      <c r="AI102" s="444">
        <f t="shared" si="270"/>
        <v>0</v>
      </c>
      <c r="AJ102" s="485"/>
      <c r="AK102" s="449"/>
      <c r="AL102" s="449">
        <f>ROUND(T102,2)</f>
        <v>4.92</v>
      </c>
      <c r="AM102" s="449">
        <f t="shared" si="233"/>
        <v>0</v>
      </c>
      <c r="AN102" s="449">
        <f t="shared" si="232"/>
        <v>0</v>
      </c>
      <c r="AO102" s="449">
        <f t="shared" si="231"/>
        <v>0</v>
      </c>
      <c r="AP102" s="485"/>
      <c r="AQ102" s="68">
        <f>IF(AND(AE102&lt;&gt;0,AK102=0),#VALUE!,AE102*AK102)</f>
        <v>0</v>
      </c>
      <c r="AR102" s="68"/>
      <c r="AS102" s="68"/>
      <c r="AT102" s="68"/>
      <c r="AU102" s="68"/>
      <c r="AV102" s="68"/>
      <c r="AW102" s="68"/>
      <c r="AX102" s="454"/>
      <c r="AY102" s="446"/>
      <c r="AZ102" s="446"/>
      <c r="BA102" s="446">
        <v>5.3089729999999999</v>
      </c>
      <c r="BB102" s="446"/>
      <c r="BC102" s="446"/>
      <c r="BD102" s="446"/>
      <c r="BE102" s="452"/>
      <c r="BF102" s="442"/>
      <c r="BG102" s="442"/>
      <c r="BH102" s="442"/>
      <c r="BI102" s="442"/>
      <c r="BJ102" s="442"/>
      <c r="BK102" s="485"/>
      <c r="BL102" s="485"/>
      <c r="BM102" s="450">
        <f t="shared" si="173"/>
        <v>0</v>
      </c>
      <c r="BN102" s="450">
        <f t="shared" si="173"/>
        <v>4.9942919999999997</v>
      </c>
      <c r="BO102" s="450">
        <f t="shared" si="173"/>
        <v>0</v>
      </c>
      <c r="BP102" s="450">
        <f t="shared" si="173"/>
        <v>0</v>
      </c>
      <c r="BQ102" s="450">
        <f t="shared" si="175"/>
        <v>0</v>
      </c>
      <c r="BR102" s="485"/>
      <c r="BS102" s="442">
        <f t="shared" si="158"/>
        <v>0</v>
      </c>
      <c r="BT102" s="442">
        <f t="shared" si="238"/>
        <v>4.9942919999999997</v>
      </c>
      <c r="BU102" s="442">
        <f t="shared" si="239"/>
        <v>-5.3089729999999999</v>
      </c>
      <c r="BV102" s="442">
        <f t="shared" si="240"/>
        <v>0</v>
      </c>
      <c r="BW102" s="442">
        <f t="shared" si="241"/>
        <v>0</v>
      </c>
      <c r="CV102" s="505"/>
      <c r="CW102" s="505"/>
      <c r="CX102" s="505"/>
      <c r="CY102" s="505"/>
      <c r="CZ102" s="505"/>
      <c r="DA102" s="505"/>
      <c r="DB102" s="505"/>
      <c r="FX102" s="455"/>
    </row>
    <row r="103" spans="1:180" s="455" customFormat="1">
      <c r="A103" s="546"/>
      <c r="B103" s="714">
        <v>2</v>
      </c>
      <c r="C103" s="715" t="s">
        <v>99</v>
      </c>
      <c r="D103" s="714">
        <v>615</v>
      </c>
      <c r="E103" s="716">
        <v>81</v>
      </c>
      <c r="F103" s="717"/>
      <c r="G103" s="717" t="str">
        <f t="shared" si="259"/>
        <v>045615</v>
      </c>
      <c r="H103" s="271"/>
      <c r="I103" s="485" t="s">
        <v>597</v>
      </c>
      <c r="J103" s="485"/>
      <c r="K103" s="72" t="s">
        <v>516</v>
      </c>
      <c r="L103" s="445"/>
      <c r="M103" s="444"/>
      <c r="N103" s="444">
        <f t="shared" si="262"/>
        <v>0</v>
      </c>
      <c r="O103" s="444"/>
      <c r="P103" s="444"/>
      <c r="Q103" s="444"/>
      <c r="R103" s="78"/>
      <c r="S103" s="470"/>
      <c r="T103" s="470">
        <v>5.21</v>
      </c>
      <c r="U103">
        <v>0</v>
      </c>
      <c r="V103" s="470">
        <v>0</v>
      </c>
      <c r="W103" s="470">
        <v>0</v>
      </c>
      <c r="X103" s="485"/>
      <c r="Y103" s="68"/>
      <c r="Z103" s="68"/>
      <c r="AA103" s="68"/>
      <c r="AB103" s="68"/>
      <c r="AC103" s="68"/>
      <c r="AD103" s="485"/>
      <c r="AE103" s="444"/>
      <c r="AF103" s="444">
        <f t="shared" si="270"/>
        <v>0</v>
      </c>
      <c r="AG103" s="444">
        <f t="shared" si="270"/>
        <v>0</v>
      </c>
      <c r="AH103" s="444">
        <f t="shared" si="270"/>
        <v>0</v>
      </c>
      <c r="AI103" s="444">
        <f t="shared" si="270"/>
        <v>0</v>
      </c>
      <c r="AJ103" s="485"/>
      <c r="AK103" s="449"/>
      <c r="AL103" s="449">
        <f>ROUND(T103,2)</f>
        <v>5.21</v>
      </c>
      <c r="AM103" s="449">
        <f t="shared" si="233"/>
        <v>0</v>
      </c>
      <c r="AN103" s="449">
        <f t="shared" si="232"/>
        <v>0</v>
      </c>
      <c r="AO103" s="449">
        <f t="shared" si="231"/>
        <v>0</v>
      </c>
      <c r="AP103" s="485"/>
      <c r="AQ103" s="68">
        <f>IF(AND(AE103&lt;&gt;0,AK103=0),#VALUE!,AE103*AK103)</f>
        <v>0</v>
      </c>
      <c r="AR103" s="68"/>
      <c r="AS103" s="68"/>
      <c r="AT103" s="68"/>
      <c r="AU103" s="68"/>
      <c r="AV103" s="68"/>
      <c r="AW103" s="68"/>
      <c r="AX103" s="454"/>
      <c r="AY103" s="446"/>
      <c r="AZ103" s="446"/>
      <c r="BA103" s="446">
        <v>5.6135029999999997</v>
      </c>
      <c r="BB103" s="446"/>
      <c r="BC103" s="446"/>
      <c r="BD103" s="446"/>
      <c r="BE103" s="452"/>
      <c r="BF103" s="442"/>
      <c r="BG103" s="442"/>
      <c r="BH103" s="442"/>
      <c r="BI103" s="442"/>
      <c r="BJ103" s="442"/>
      <c r="BK103" s="485"/>
      <c r="BL103" s="485"/>
      <c r="BM103" s="450">
        <f t="shared" si="173"/>
        <v>0</v>
      </c>
      <c r="BN103" s="450">
        <f t="shared" si="173"/>
        <v>5.288670999999999</v>
      </c>
      <c r="BO103" s="450">
        <f t="shared" si="173"/>
        <v>0</v>
      </c>
      <c r="BP103" s="450">
        <f t="shared" si="173"/>
        <v>0</v>
      </c>
      <c r="BQ103" s="450">
        <f t="shared" si="175"/>
        <v>0</v>
      </c>
      <c r="BR103" s="485"/>
      <c r="BS103" s="442">
        <f t="shared" si="158"/>
        <v>0</v>
      </c>
      <c r="BT103" s="442">
        <f t="shared" si="238"/>
        <v>5.288670999999999</v>
      </c>
      <c r="BU103" s="442">
        <f t="shared" si="239"/>
        <v>-5.6135029999999997</v>
      </c>
      <c r="BV103" s="442">
        <f t="shared" si="240"/>
        <v>0</v>
      </c>
      <c r="BW103" s="442">
        <f t="shared" si="241"/>
        <v>0</v>
      </c>
      <c r="BX103"/>
      <c r="BY103"/>
      <c r="BZ103"/>
      <c r="CA103"/>
      <c r="CB103"/>
      <c r="CC103"/>
      <c r="CD103"/>
      <c r="CE103"/>
      <c r="CF103"/>
      <c r="CG103"/>
      <c r="CH103"/>
      <c r="CI103"/>
      <c r="CJ103"/>
      <c r="CK103"/>
      <c r="CL103"/>
      <c r="CM103"/>
      <c r="CN103"/>
      <c r="CO103"/>
      <c r="CP103"/>
      <c r="CQ103"/>
      <c r="CR103"/>
      <c r="CS103"/>
      <c r="CT103"/>
      <c r="CU103" s="505"/>
      <c r="CV103"/>
      <c r="CW103"/>
      <c r="CX103"/>
      <c r="CY103"/>
      <c r="CZ103"/>
      <c r="DA103"/>
      <c r="DB103"/>
      <c r="DC103"/>
      <c r="DD103"/>
      <c r="DE103"/>
      <c r="DF103"/>
      <c r="DG103"/>
      <c r="DH103" s="505"/>
      <c r="DI103" s="505"/>
      <c r="DJ103" s="505"/>
      <c r="DK103" s="505"/>
      <c r="DL103" s="505"/>
      <c r="DM103" s="505"/>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row>
    <row r="104" spans="1:180" s="455" customFormat="1">
      <c r="A104"/>
      <c r="B104" s="714">
        <v>2</v>
      </c>
      <c r="C104" s="715" t="s">
        <v>99</v>
      </c>
      <c r="D104" s="714">
        <v>618</v>
      </c>
      <c r="E104" s="716">
        <v>81</v>
      </c>
      <c r="F104" s="717"/>
      <c r="G104" s="717" t="str">
        <f t="shared" si="259"/>
        <v>045618</v>
      </c>
      <c r="H104" s="271"/>
      <c r="I104" s="485" t="s">
        <v>597</v>
      </c>
      <c r="J104"/>
      <c r="K104" s="57" t="s">
        <v>534</v>
      </c>
      <c r="L104"/>
      <c r="M104"/>
      <c r="N104"/>
      <c r="O104"/>
      <c r="P104"/>
      <c r="Q104"/>
      <c r="R104" s="67"/>
      <c r="S104" s="470">
        <v>0</v>
      </c>
      <c r="T104" s="470">
        <v>7.46</v>
      </c>
      <c r="U104">
        <v>0</v>
      </c>
      <c r="V104" s="470">
        <v>0</v>
      </c>
      <c r="W104" s="470">
        <v>0</v>
      </c>
      <c r="X104"/>
      <c r="Y104" s="68"/>
      <c r="Z104" s="68"/>
      <c r="AA104" s="68"/>
      <c r="AB104" s="68"/>
      <c r="AC104" s="68"/>
      <c r="AD104"/>
      <c r="AE104"/>
      <c r="AF104"/>
      <c r="AG104" s="444">
        <f>SUMIF($G:$G,TEXT(AG$3,"000")&amp;TEXT($L104,"000"),$E:$E)</f>
        <v>0</v>
      </c>
      <c r="AH104" s="444">
        <f>SUMIF($G:$G,TEXT(AH$3,"000")&amp;TEXT($L104,"000"),$E:$E)</f>
        <v>0</v>
      </c>
      <c r="AI104" s="444">
        <f>SUMIF($G:$G,TEXT(AI$3,"000")&amp;TEXT($L104,"000"),$E:$E)</f>
        <v>0</v>
      </c>
      <c r="AJ104"/>
      <c r="AK104" s="449">
        <f>ROUND(S104*(1+AK$1),2)</f>
        <v>0</v>
      </c>
      <c r="AL104" s="449">
        <f>ROUND(T104,2)</f>
        <v>7.46</v>
      </c>
      <c r="AM104" s="449">
        <f t="shared" si="233"/>
        <v>0</v>
      </c>
      <c r="AN104" s="449">
        <f t="shared" si="232"/>
        <v>0</v>
      </c>
      <c r="AO104" s="449">
        <f t="shared" si="231"/>
        <v>0</v>
      </c>
      <c r="AP104"/>
      <c r="AQ104" s="68"/>
      <c r="AR104" s="68"/>
      <c r="AS104" s="68"/>
      <c r="AT104" s="68"/>
      <c r="AU104" s="68"/>
      <c r="AV104" s="68">
        <f>SUM(AQ104:AU104)-SUM(Y104:AC104)</f>
        <v>0</v>
      </c>
      <c r="AW104" s="68"/>
      <c r="AX104" s="392"/>
      <c r="AY104" s="446"/>
      <c r="AZ104" s="446"/>
      <c r="BA104" s="446">
        <v>8.039591999999999</v>
      </c>
      <c r="BB104" s="446"/>
      <c r="BC104" s="446"/>
      <c r="BD104" s="131"/>
      <c r="BE104" s="452"/>
      <c r="BF104" s="52"/>
      <c r="BG104" s="52"/>
      <c r="BH104" s="52"/>
      <c r="BI104" s="52"/>
      <c r="BJ104" s="52"/>
      <c r="BK104"/>
      <c r="BL104"/>
      <c r="BM104" s="450">
        <f t="shared" si="173"/>
        <v>0</v>
      </c>
      <c r="BN104" s="450">
        <f t="shared" si="173"/>
        <v>7.5726459999999989</v>
      </c>
      <c r="BO104" s="450">
        <f t="shared" si="173"/>
        <v>0</v>
      </c>
      <c r="BP104" s="450">
        <f t="shared" si="173"/>
        <v>0</v>
      </c>
      <c r="BQ104" s="450">
        <f t="shared" si="175"/>
        <v>0</v>
      </c>
      <c r="BR104"/>
      <c r="BS104" s="442">
        <f t="shared" si="158"/>
        <v>0</v>
      </c>
      <c r="BT104" s="442">
        <f>BN104-AZ104</f>
        <v>7.5726459999999989</v>
      </c>
      <c r="BU104" s="442">
        <f t="shared" si="239"/>
        <v>-8.039591999999999</v>
      </c>
      <c r="BV104" s="442">
        <f t="shared" si="240"/>
        <v>0</v>
      </c>
      <c r="BW104" s="442">
        <f t="shared" si="241"/>
        <v>0</v>
      </c>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s="505"/>
      <c r="DD104" s="505"/>
      <c r="DE104" s="505"/>
      <c r="DF104" s="505"/>
      <c r="DG104" s="505"/>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row>
    <row r="105" spans="1:180">
      <c r="B105" s="714">
        <v>2</v>
      </c>
      <c r="C105" s="715" t="s">
        <v>99</v>
      </c>
      <c r="D105" s="714">
        <v>715</v>
      </c>
      <c r="E105" s="716">
        <v>3</v>
      </c>
      <c r="F105" s="717"/>
      <c r="G105" s="717" t="str">
        <f t="shared" si="259"/>
        <v>045715</v>
      </c>
      <c r="H105" s="271"/>
      <c r="K105" s="443" t="s">
        <v>64</v>
      </c>
      <c r="M105" s="73">
        <f>SUM(M4:M104)</f>
        <v>0</v>
      </c>
      <c r="N105" s="73">
        <f>SUM(N4:N104)</f>
        <v>22777</v>
      </c>
      <c r="O105" s="73">
        <f>SUM(O4:O104)</f>
        <v>152</v>
      </c>
      <c r="P105" s="73">
        <f>SUM(P4:P104)</f>
        <v>243</v>
      </c>
      <c r="Q105" s="73">
        <f>SUM(Q4:Q104)</f>
        <v>914</v>
      </c>
      <c r="S105" s="470">
        <v>0</v>
      </c>
      <c r="T105" s="470">
        <v>0</v>
      </c>
      <c r="U105" s="470">
        <v>0</v>
      </c>
      <c r="V105" s="470">
        <v>0</v>
      </c>
      <c r="W105" s="470">
        <v>0</v>
      </c>
      <c r="Y105" s="74">
        <f>ROUND(SUM(Y4:Y104),2)</f>
        <v>0</v>
      </c>
      <c r="Z105" s="74">
        <f>ROUND(SUM(Z4:Z104),2)</f>
        <v>420544.77</v>
      </c>
      <c r="AA105" s="74">
        <f>ROUND(SUM(AA4:AA104),2)</f>
        <v>2172.12</v>
      </c>
      <c r="AB105" s="133">
        <f>ROUND(SUM(AB4:AB104),2)</f>
        <v>2952.84</v>
      </c>
      <c r="AC105" s="74">
        <f>ROUND(SUM(AC4:AC104),2)</f>
        <v>8548.7999999999993</v>
      </c>
      <c r="AE105" s="73">
        <f>SUM(AE4:AE104)</f>
        <v>0</v>
      </c>
      <c r="AF105" s="73">
        <f>SUM(AF4:AF104)</f>
        <v>22777</v>
      </c>
      <c r="AG105" s="73">
        <f>SUM(AG4:AG104)</f>
        <v>152</v>
      </c>
      <c r="AH105" s="73">
        <f>SUM(AH4:AH104)</f>
        <v>243</v>
      </c>
      <c r="AI105" s="73">
        <f>SUM(AI4:AI104)</f>
        <v>914</v>
      </c>
      <c r="AK105" s="381">
        <f>ROUND(S105*(1+AK$1),2)</f>
        <v>0</v>
      </c>
      <c r="AL105" s="381">
        <f t="shared" ref="AL105:AO110" si="271">ROUND(T105*(1+AL$1),2)</f>
        <v>0</v>
      </c>
      <c r="AM105" s="381">
        <f t="shared" si="271"/>
        <v>0</v>
      </c>
      <c r="AN105" s="381">
        <f t="shared" si="271"/>
        <v>0</v>
      </c>
      <c r="AO105" s="381">
        <f t="shared" si="271"/>
        <v>0</v>
      </c>
      <c r="AQ105" s="133">
        <f>ROUND(SUM(AQ4:AQ104),2)</f>
        <v>0</v>
      </c>
      <c r="AR105" s="133">
        <f>ROUND(SUM(AR4:AR104),2)</f>
        <v>466568.77</v>
      </c>
      <c r="AS105" s="133">
        <f>ROUND(SUM(AS4:AS104),2)</f>
        <v>2409.19</v>
      </c>
      <c r="AT105" s="133">
        <f>ROUND(SUM(AT4:AT104),2)</f>
        <v>3275.96</v>
      </c>
      <c r="AU105" s="133">
        <f>ROUND(SUM(AU4:AU104),2)</f>
        <v>9483.25</v>
      </c>
      <c r="AX105" s="392"/>
      <c r="AY105" s="446"/>
      <c r="AZ105" s="446"/>
      <c r="BA105" s="446"/>
      <c r="BB105" s="446"/>
      <c r="BC105" s="446"/>
      <c r="BD105" s="131"/>
      <c r="BE105" s="452"/>
      <c r="BF105" s="52"/>
      <c r="BG105" s="52"/>
      <c r="BH105" s="52"/>
      <c r="BI105" s="52"/>
      <c r="BJ105" s="52"/>
      <c r="BM105" s="249">
        <f t="shared" ref="BM105:BM110" si="272">AK105*$BM$1</f>
        <v>0</v>
      </c>
      <c r="BN105" s="249">
        <f t="shared" ref="BN105:BN110" si="273">AL105*$BM$1</f>
        <v>0</v>
      </c>
      <c r="BO105" s="249">
        <f t="shared" ref="BO105:BQ110" si="274">AM105*$BM$1</f>
        <v>0</v>
      </c>
      <c r="BP105" s="249">
        <f t="shared" si="274"/>
        <v>0</v>
      </c>
      <c r="BQ105" s="249">
        <f t="shared" si="274"/>
        <v>0</v>
      </c>
      <c r="BS105" s="442"/>
      <c r="BT105" s="52"/>
      <c r="BU105" s="52"/>
      <c r="BV105" s="52"/>
      <c r="BW105" s="52"/>
      <c r="DN105" s="505"/>
      <c r="DO105" s="505"/>
      <c r="DP105" s="505"/>
      <c r="DQ105" s="505"/>
      <c r="DT105" s="509"/>
      <c r="DU105" s="509"/>
      <c r="DV105" s="509"/>
      <c r="DW105" s="509"/>
      <c r="DX105" s="509"/>
      <c r="DY105" s="509"/>
      <c r="DZ105" s="509"/>
      <c r="EA105" s="509"/>
      <c r="EB105" s="509"/>
    </row>
    <row r="106" spans="1:180" ht="18">
      <c r="B106" s="714"/>
      <c r="C106" s="714"/>
      <c r="D106" s="714"/>
      <c r="E106" s="849">
        <f>SUM(E99:E105)</f>
        <v>243</v>
      </c>
      <c r="F106" s="850"/>
      <c r="G106" s="717" t="str">
        <f t="shared" si="259"/>
        <v/>
      </c>
      <c r="H106" s="247"/>
      <c r="I106" s="536" t="s">
        <v>709</v>
      </c>
      <c r="Q106" s="67">
        <f>SUM(M105:Q105)</f>
        <v>24086</v>
      </c>
      <c r="S106" s="470">
        <v>0</v>
      </c>
      <c r="T106" s="470">
        <v>0</v>
      </c>
      <c r="U106" s="470">
        <v>0</v>
      </c>
      <c r="V106" s="470">
        <v>0</v>
      </c>
      <c r="W106" s="470">
        <v>0</v>
      </c>
      <c r="Y106" s="75">
        <v>0</v>
      </c>
      <c r="Z106" s="527"/>
      <c r="AA106" s="527"/>
      <c r="AB106" s="527"/>
      <c r="AC106" s="527"/>
      <c r="AD106" s="507"/>
      <c r="AI106" s="67">
        <f>SUM(AE105:AI105)</f>
        <v>24086</v>
      </c>
      <c r="AK106" s="381">
        <f>ROUND(S106*(1+AK$1),2)</f>
        <v>0</v>
      </c>
      <c r="AL106" s="381">
        <f t="shared" si="271"/>
        <v>0</v>
      </c>
      <c r="AM106" s="381">
        <f t="shared" si="271"/>
        <v>0</v>
      </c>
      <c r="AN106" s="381">
        <f t="shared" si="271"/>
        <v>0</v>
      </c>
      <c r="AO106" s="381">
        <f t="shared" si="271"/>
        <v>0</v>
      </c>
      <c r="AQ106" s="68"/>
      <c r="AR106" s="68"/>
      <c r="AS106" s="68"/>
      <c r="AT106" s="68"/>
      <c r="AU106" s="75">
        <f>SUM(AQ105:AU105)</f>
        <v>481737.17000000004</v>
      </c>
      <c r="AX106" s="392"/>
      <c r="AY106" s="446"/>
      <c r="AZ106" s="446"/>
      <c r="BA106" s="446"/>
      <c r="BB106" s="446"/>
      <c r="BC106" s="446"/>
      <c r="BD106" s="131"/>
      <c r="BE106" s="452"/>
      <c r="BF106" s="52"/>
      <c r="BG106" s="52"/>
      <c r="BH106" s="52"/>
      <c r="BI106" s="52"/>
      <c r="BJ106" s="52"/>
      <c r="BM106" s="249">
        <f t="shared" si="272"/>
        <v>0</v>
      </c>
      <c r="BN106" s="249">
        <f t="shared" si="273"/>
        <v>0</v>
      </c>
      <c r="BO106" s="249">
        <f t="shared" si="274"/>
        <v>0</v>
      </c>
      <c r="BP106" s="249">
        <f t="shared" si="274"/>
        <v>0</v>
      </c>
      <c r="BQ106" s="249">
        <f t="shared" si="274"/>
        <v>0</v>
      </c>
      <c r="BS106" s="52"/>
      <c r="BT106" s="52"/>
      <c r="BU106" s="52"/>
      <c r="BV106" s="52"/>
      <c r="BW106" s="52"/>
      <c r="DR106" s="505"/>
      <c r="DS106" s="505"/>
      <c r="DT106" s="509"/>
      <c r="DU106" s="509"/>
      <c r="DV106" s="509"/>
      <c r="DW106" s="509"/>
      <c r="DX106" s="509"/>
      <c r="DY106" s="509"/>
      <c r="DZ106" s="509"/>
      <c r="EA106" s="509"/>
      <c r="EB106" s="509"/>
    </row>
    <row r="107" spans="1:180">
      <c r="B107" s="714"/>
      <c r="C107" s="714"/>
      <c r="D107" s="714"/>
      <c r="E107" s="18"/>
      <c r="F107" s="18"/>
      <c r="G107" s="717" t="str">
        <f t="shared" si="259"/>
        <v/>
      </c>
      <c r="H107" s="247"/>
      <c r="I107" s="461"/>
      <c r="J107" s="18"/>
      <c r="K107" s="82"/>
      <c r="L107" s="18"/>
      <c r="Q107" s="70">
        <f>ROUND(Q106-E143,0)</f>
        <v>0</v>
      </c>
      <c r="S107" s="470"/>
      <c r="T107" s="470">
        <v>0</v>
      </c>
      <c r="U107" s="470">
        <v>0</v>
      </c>
      <c r="V107" s="470">
        <v>0</v>
      </c>
      <c r="W107" s="470">
        <v>0</v>
      </c>
      <c r="X107" s="108"/>
      <c r="Y107" s="68"/>
      <c r="Z107" s="68"/>
      <c r="AA107" s="68"/>
      <c r="AB107" s="68"/>
      <c r="AC107" s="75">
        <f>SUM(Y105:AC105)</f>
        <v>434218.53</v>
      </c>
      <c r="AD107" s="390"/>
      <c r="AI107" s="70">
        <f>AI106-Q106</f>
        <v>0</v>
      </c>
      <c r="AL107" s="381">
        <f t="shared" si="271"/>
        <v>0</v>
      </c>
      <c r="AM107" s="381">
        <f t="shared" si="271"/>
        <v>0</v>
      </c>
      <c r="AN107" s="381">
        <f t="shared" si="271"/>
        <v>0</v>
      </c>
      <c r="AO107" s="381">
        <f t="shared" si="271"/>
        <v>0</v>
      </c>
      <c r="AU107" s="81">
        <f>AU106/AC107-1</f>
        <v>0.10943485069603098</v>
      </c>
      <c r="AX107" s="392"/>
      <c r="AY107" s="446"/>
      <c r="AZ107" s="446"/>
      <c r="BA107" s="446"/>
      <c r="BB107" s="446"/>
      <c r="BC107" s="446"/>
      <c r="BD107" s="131"/>
      <c r="BE107" s="452"/>
      <c r="BF107" s="52"/>
      <c r="BG107" s="52"/>
      <c r="BH107" s="52"/>
      <c r="BI107" s="52"/>
      <c r="BJ107" s="52"/>
      <c r="BM107" s="249">
        <f>X107*$BM$1</f>
        <v>0</v>
      </c>
      <c r="BN107" s="249">
        <f t="shared" si="273"/>
        <v>0</v>
      </c>
      <c r="BO107" s="249">
        <f t="shared" si="274"/>
        <v>0</v>
      </c>
      <c r="BP107" s="249">
        <f t="shared" si="274"/>
        <v>0</v>
      </c>
      <c r="BQ107" s="249">
        <f t="shared" si="274"/>
        <v>0</v>
      </c>
      <c r="BS107" s="52"/>
      <c r="BT107" s="52"/>
      <c r="BU107" s="52"/>
      <c r="BV107" s="52"/>
      <c r="BW107" s="52"/>
      <c r="DT107" s="509"/>
      <c r="DU107" s="509"/>
    </row>
    <row r="108" spans="1:180">
      <c r="A108" s="546"/>
      <c r="B108" s="714">
        <v>2</v>
      </c>
      <c r="C108" s="715" t="s">
        <v>100</v>
      </c>
      <c r="D108" s="500" t="s">
        <v>684</v>
      </c>
      <c r="E108" s="716">
        <v>2</v>
      </c>
      <c r="F108" s="717"/>
      <c r="G108" s="717" t="str">
        <f t="shared" si="259"/>
        <v>046005L</v>
      </c>
      <c r="H108" s="247"/>
      <c r="S108" s="470">
        <v>0</v>
      </c>
      <c r="T108" s="470">
        <v>0</v>
      </c>
      <c r="U108" s="470">
        <v>0</v>
      </c>
      <c r="V108" s="470">
        <v>0</v>
      </c>
      <c r="W108" s="470">
        <v>0</v>
      </c>
      <c r="Y108" s="391"/>
      <c r="Z108" s="391"/>
      <c r="AA108" s="391"/>
      <c r="AB108" s="391"/>
      <c r="AC108" s="391"/>
      <c r="AD108" s="467"/>
      <c r="AK108" s="381">
        <f>ROUND(S108*(1+AK$1),2)</f>
        <v>0</v>
      </c>
      <c r="AL108" s="381">
        <f t="shared" si="271"/>
        <v>0</v>
      </c>
      <c r="AM108" s="381">
        <f t="shared" si="271"/>
        <v>0</v>
      </c>
      <c r="AN108" s="381">
        <f t="shared" si="271"/>
        <v>0</v>
      </c>
      <c r="AO108" s="381">
        <f t="shared" si="271"/>
        <v>0</v>
      </c>
      <c r="AX108" s="392"/>
      <c r="AY108" s="446"/>
      <c r="AZ108" s="446"/>
      <c r="BA108" s="446"/>
      <c r="BB108" s="446"/>
      <c r="BC108" s="446"/>
      <c r="BD108" s="131"/>
      <c r="BE108" s="452"/>
      <c r="BF108" s="52"/>
      <c r="BG108" s="52"/>
      <c r="BH108" s="52"/>
      <c r="BI108" s="52"/>
      <c r="BJ108" s="52"/>
      <c r="BM108" s="249">
        <f t="shared" si="272"/>
        <v>0</v>
      </c>
      <c r="BN108" s="249">
        <f t="shared" si="273"/>
        <v>0</v>
      </c>
      <c r="BO108" s="249">
        <f t="shared" si="274"/>
        <v>0</v>
      </c>
      <c r="BP108" s="249">
        <f t="shared" si="274"/>
        <v>0</v>
      </c>
      <c r="BQ108" s="249">
        <f t="shared" si="274"/>
        <v>0</v>
      </c>
      <c r="BS108" s="52"/>
      <c r="BT108" s="52"/>
      <c r="BU108" s="52"/>
      <c r="BV108" s="52"/>
      <c r="BW108" s="52"/>
      <c r="DT108" s="509"/>
      <c r="DU108" s="509"/>
    </row>
    <row r="109" spans="1:180">
      <c r="A109" s="546"/>
      <c r="B109" s="714">
        <v>2</v>
      </c>
      <c r="C109" s="715" t="s">
        <v>100</v>
      </c>
      <c r="D109" s="500" t="s">
        <v>685</v>
      </c>
      <c r="E109" s="716">
        <v>42</v>
      </c>
      <c r="F109" s="717"/>
      <c r="G109" s="717" t="str">
        <f t="shared" si="259"/>
        <v>046015L</v>
      </c>
      <c r="H109" s="247"/>
      <c r="I109" s="76" t="s">
        <v>127</v>
      </c>
      <c r="S109" s="470">
        <v>0</v>
      </c>
      <c r="T109" s="470">
        <v>0</v>
      </c>
      <c r="U109" s="470">
        <v>0</v>
      </c>
      <c r="V109" s="470">
        <v>0</v>
      </c>
      <c r="W109" s="470">
        <v>0</v>
      </c>
      <c r="Y109" s="74">
        <f>Y105-Y106</f>
        <v>0</v>
      </c>
      <c r="Z109" s="74">
        <f t="shared" ref="Z109:AB109" si="275">Z105-Z106</f>
        <v>420544.77</v>
      </c>
      <c r="AA109" s="74">
        <f t="shared" si="275"/>
        <v>2172.12</v>
      </c>
      <c r="AB109" s="74">
        <f t="shared" si="275"/>
        <v>2952.84</v>
      </c>
      <c r="AC109" s="74">
        <f>AC105-AC106</f>
        <v>8548.7999999999993</v>
      </c>
      <c r="AK109" s="381">
        <f>ROUND(S109*(1+AK$1),2)</f>
        <v>0</v>
      </c>
      <c r="AL109" s="381">
        <f t="shared" si="271"/>
        <v>0</v>
      </c>
      <c r="AM109" s="381">
        <f t="shared" si="271"/>
        <v>0</v>
      </c>
      <c r="AN109" s="381">
        <f t="shared" si="271"/>
        <v>0</v>
      </c>
      <c r="AO109" s="381">
        <f t="shared" si="271"/>
        <v>0</v>
      </c>
      <c r="AX109" s="392"/>
      <c r="AY109" s="446"/>
      <c r="AZ109" s="446"/>
      <c r="BA109" s="446"/>
      <c r="BB109" s="446"/>
      <c r="BC109" s="446"/>
      <c r="BD109" s="131"/>
      <c r="BE109" s="452"/>
      <c r="BF109" s="52"/>
      <c r="BG109" s="52"/>
      <c r="BH109" s="52"/>
      <c r="BI109" s="52"/>
      <c r="BJ109" s="52"/>
      <c r="BM109" s="249">
        <f t="shared" si="272"/>
        <v>0</v>
      </c>
      <c r="BN109" s="249">
        <f t="shared" si="273"/>
        <v>0</v>
      </c>
      <c r="BO109" s="249">
        <f t="shared" si="274"/>
        <v>0</v>
      </c>
      <c r="BP109" s="249">
        <f t="shared" si="274"/>
        <v>0</v>
      </c>
      <c r="BQ109" s="249">
        <f t="shared" si="274"/>
        <v>0</v>
      </c>
      <c r="BS109" s="52"/>
      <c r="BT109" s="52"/>
      <c r="BU109" s="52"/>
      <c r="BV109" s="52"/>
      <c r="BW109" s="52"/>
      <c r="DW109" s="509"/>
      <c r="DX109" s="509"/>
      <c r="DY109" s="509"/>
      <c r="DZ109" s="509"/>
      <c r="EA109" s="509"/>
      <c r="EB109" s="509"/>
      <c r="EC109" s="509"/>
      <c r="ED109" s="509"/>
      <c r="EE109" s="509"/>
      <c r="EF109" s="509"/>
      <c r="EG109" s="509"/>
      <c r="EH109" s="509"/>
      <c r="EI109" s="509"/>
      <c r="EJ109" s="509"/>
      <c r="EK109" s="509"/>
      <c r="EL109" s="509"/>
      <c r="EM109" s="509"/>
      <c r="EN109" s="509"/>
      <c r="EO109" s="509"/>
      <c r="EP109" s="509"/>
      <c r="EQ109" s="509"/>
      <c r="ER109" s="509"/>
      <c r="ES109" s="509"/>
      <c r="ET109" s="509"/>
      <c r="EU109" s="509"/>
      <c r="EV109" s="509"/>
      <c r="EW109" s="509"/>
      <c r="EX109" s="509"/>
      <c r="EY109" s="509"/>
      <c r="EZ109" s="509"/>
    </row>
    <row r="110" spans="1:180">
      <c r="A110" s="546"/>
      <c r="B110" s="714">
        <v>2</v>
      </c>
      <c r="C110" s="715" t="s">
        <v>100</v>
      </c>
      <c r="D110" s="500" t="s">
        <v>686</v>
      </c>
      <c r="E110" s="716">
        <v>45</v>
      </c>
      <c r="F110" s="717"/>
      <c r="G110" s="717" t="str">
        <f t="shared" si="259"/>
        <v>046025L</v>
      </c>
      <c r="H110" s="247"/>
      <c r="I110" s="468" t="s">
        <v>105</v>
      </c>
      <c r="J110" s="468" t="s">
        <v>128</v>
      </c>
      <c r="K110" s="471" t="s">
        <v>111</v>
      </c>
      <c r="L110" s="472">
        <v>439</v>
      </c>
      <c r="M110" s="67">
        <f>SUMIF($G:$G,TEXT(M$3,"000")&amp;TEXT($L110,"000"),$E:$E)</f>
        <v>0</v>
      </c>
      <c r="N110" s="67">
        <f>SUMIF($G:$G,TEXT(N$3,"000")&amp;TEXT($L110,"000"),$E:$E)</f>
        <v>0</v>
      </c>
      <c r="O110" s="67">
        <f>SUMIF($G:$G,TEXT(O$3,"000")&amp;TEXT($L110,"000"),$E:$E)</f>
        <v>0</v>
      </c>
      <c r="P110" s="67">
        <f>SUMIF($G:$G,TEXT(P$3,"000")&amp;TEXT($L110,"000"),$E:$E)</f>
        <v>0</v>
      </c>
      <c r="Q110" s="67">
        <f>SUMIF($G:$G,TEXT(Q$3,"000")&amp;TEXT($L110,"000"),$E:$E)</f>
        <v>0</v>
      </c>
      <c r="R110" s="67">
        <f>IF(SUM(M110:Q110)&gt;0,0,1)</f>
        <v>1</v>
      </c>
      <c r="S110" s="470">
        <v>0</v>
      </c>
      <c r="T110" s="470">
        <v>0</v>
      </c>
      <c r="U110" s="470">
        <v>0</v>
      </c>
      <c r="V110" s="470">
        <v>0</v>
      </c>
      <c r="W110" s="470">
        <v>0</v>
      </c>
      <c r="Y110" s="647"/>
      <c r="Z110" s="647"/>
      <c r="AA110" s="647"/>
      <c r="AB110" s="704"/>
      <c r="AC110" s="705"/>
      <c r="AD110" s="647"/>
      <c r="AE110" s="67"/>
      <c r="AF110" s="67">
        <f>SUMIF($G:$G,TEXT(AF$3,"000")&amp;TEXT($L110,"000"),$E:$E)</f>
        <v>0</v>
      </c>
      <c r="AG110" s="67">
        <f>SUMIF($G:$G,TEXT(AG$3,"000")&amp;TEXT($L110,"000"),$E:$E)</f>
        <v>0</v>
      </c>
      <c r="AH110" s="67">
        <f>SUMIF($G:$G,TEXT(AH$3,"000")&amp;TEXT($L110,"000"),$E:$E)</f>
        <v>0</v>
      </c>
      <c r="AI110" s="67">
        <f>SUMIF($G:$G,TEXT(AI$3,"000")&amp;TEXT($L110,"000"),$E:$E)</f>
        <v>0</v>
      </c>
      <c r="AK110" s="381">
        <f>ROUND(S110*(1+AK$1),2)</f>
        <v>0</v>
      </c>
      <c r="AL110" s="381">
        <f t="shared" si="271"/>
        <v>0</v>
      </c>
      <c r="AM110" s="381">
        <f t="shared" si="271"/>
        <v>0</v>
      </c>
      <c r="AN110" s="381">
        <f t="shared" si="271"/>
        <v>0</v>
      </c>
      <c r="AO110" s="381">
        <f t="shared" si="271"/>
        <v>0</v>
      </c>
      <c r="AX110" s="392"/>
      <c r="AY110" s="446"/>
      <c r="AZ110" s="446"/>
      <c r="BA110" s="446"/>
      <c r="BB110" s="446"/>
      <c r="BC110" s="446"/>
      <c r="BD110" s="131"/>
      <c r="BE110" s="452"/>
      <c r="BF110" s="52"/>
      <c r="BG110" s="52"/>
      <c r="BH110" s="52"/>
      <c r="BI110" s="52"/>
      <c r="BJ110" s="52"/>
      <c r="BM110" s="249">
        <f t="shared" si="272"/>
        <v>0</v>
      </c>
      <c r="BN110" s="249">
        <f t="shared" si="273"/>
        <v>0</v>
      </c>
      <c r="BO110" s="249">
        <f t="shared" si="274"/>
        <v>0</v>
      </c>
      <c r="BP110" s="249">
        <f t="shared" si="274"/>
        <v>0</v>
      </c>
      <c r="BQ110" s="249">
        <f t="shared" si="274"/>
        <v>0</v>
      </c>
      <c r="BS110" s="52">
        <f>BM110-AY110</f>
        <v>0</v>
      </c>
      <c r="BT110" s="52">
        <f>BN110-AZ110</f>
        <v>0</v>
      </c>
      <c r="BU110" s="52">
        <f>BO110-BA110</f>
        <v>0</v>
      </c>
      <c r="BV110" s="52">
        <f>BP110-BB110</f>
        <v>0</v>
      </c>
      <c r="BW110" s="52">
        <f>BQ110-BC110</f>
        <v>0</v>
      </c>
      <c r="DM110" s="455"/>
      <c r="DW110" s="509"/>
      <c r="DX110" s="509"/>
      <c r="DY110" s="509"/>
      <c r="DZ110" s="509"/>
      <c r="EA110" s="509"/>
      <c r="EB110" s="509"/>
      <c r="EC110" s="509"/>
      <c r="ED110" s="509"/>
      <c r="EE110" s="509"/>
      <c r="EF110" s="509"/>
      <c r="EG110" s="509"/>
      <c r="EH110" s="509"/>
      <c r="EI110" s="509"/>
      <c r="EJ110" s="509"/>
      <c r="EK110" s="509"/>
      <c r="EL110" s="509"/>
      <c r="EM110" s="509"/>
      <c r="EN110" s="509"/>
      <c r="EO110" s="509"/>
      <c r="EP110" s="509"/>
      <c r="EQ110" s="509"/>
      <c r="ER110" s="509"/>
      <c r="ES110" s="509"/>
      <c r="ET110" s="509"/>
      <c r="EU110" s="509"/>
      <c r="EV110" s="509"/>
      <c r="EW110" s="509"/>
      <c r="EX110" s="509"/>
      <c r="EY110" s="509"/>
      <c r="EZ110" s="509"/>
    </row>
    <row r="111" spans="1:180">
      <c r="A111" s="546"/>
      <c r="B111" s="714">
        <v>2</v>
      </c>
      <c r="C111" s="715" t="s">
        <v>100</v>
      </c>
      <c r="D111" s="500" t="s">
        <v>687</v>
      </c>
      <c r="E111" s="716">
        <v>0</v>
      </c>
      <c r="F111" s="717"/>
      <c r="G111" s="717" t="str">
        <f t="shared" si="259"/>
        <v>046035L</v>
      </c>
      <c r="H111" s="247"/>
      <c r="I111" s="468"/>
      <c r="J111" s="468"/>
      <c r="K111" s="471"/>
      <c r="L111" s="468"/>
      <c r="S111" s="18"/>
      <c r="T111" s="18"/>
      <c r="U111" s="18"/>
      <c r="V111" s="18"/>
      <c r="W111" s="18"/>
      <c r="Y111" s="649"/>
      <c r="Z111" s="689"/>
      <c r="AA111" s="689"/>
      <c r="AB111" s="689"/>
      <c r="AC111" s="689"/>
      <c r="AD111" s="647"/>
      <c r="AY111" s="18"/>
      <c r="AZ111" s="18"/>
      <c r="BA111" s="18"/>
      <c r="BB111" s="18"/>
      <c r="BC111" s="18"/>
      <c r="DH111" s="455"/>
      <c r="DI111" s="455"/>
      <c r="DJ111" s="455"/>
      <c r="DK111" s="455"/>
      <c r="DL111" s="455"/>
      <c r="DM111" s="455"/>
      <c r="DW111" s="509"/>
      <c r="DX111" s="509"/>
      <c r="DY111" s="509"/>
      <c r="DZ111" s="509"/>
      <c r="EA111" s="509"/>
      <c r="EB111" s="509"/>
      <c r="EC111" s="509"/>
      <c r="ED111" s="509"/>
      <c r="EE111" s="509"/>
      <c r="EF111" s="509"/>
      <c r="EG111" s="509"/>
      <c r="EH111" s="509"/>
      <c r="EI111" s="509"/>
      <c r="EJ111" s="509"/>
      <c r="EK111" s="509"/>
      <c r="EL111" s="509"/>
      <c r="EM111" s="509"/>
      <c r="EN111" s="509"/>
      <c r="EO111" s="509"/>
      <c r="EP111" s="509"/>
      <c r="EQ111" s="509"/>
      <c r="ER111" s="509"/>
      <c r="ES111" s="509"/>
      <c r="ET111" s="509"/>
      <c r="EU111" s="509"/>
      <c r="EV111" s="509"/>
      <c r="EW111" s="509"/>
      <c r="EX111" s="509"/>
      <c r="EY111" s="509"/>
      <c r="EZ111" s="509"/>
    </row>
    <row r="112" spans="1:180">
      <c r="A112" s="546"/>
      <c r="B112" s="714">
        <v>2</v>
      </c>
      <c r="C112" s="715" t="s">
        <v>100</v>
      </c>
      <c r="D112" s="500" t="s">
        <v>688</v>
      </c>
      <c r="E112" s="716">
        <v>0</v>
      </c>
      <c r="F112" s="717"/>
      <c r="G112" s="717" t="str">
        <f t="shared" si="259"/>
        <v>046045L</v>
      </c>
      <c r="H112" s="247"/>
      <c r="I112" s="468" t="s">
        <v>116</v>
      </c>
      <c r="J112" s="468" t="s">
        <v>87</v>
      </c>
      <c r="K112" s="471" t="s">
        <v>111</v>
      </c>
      <c r="L112" s="472">
        <v>443</v>
      </c>
      <c r="M112" s="67">
        <f t="shared" ref="M112:Q121" si="276">SUMIF($G:$G,TEXT(M$3,"000")&amp;TEXT($L112,"000"),$E:$E)</f>
        <v>0</v>
      </c>
      <c r="N112" s="67">
        <f t="shared" si="276"/>
        <v>0</v>
      </c>
      <c r="O112" s="67">
        <f t="shared" si="276"/>
        <v>0</v>
      </c>
      <c r="P112" s="67">
        <f t="shared" si="276"/>
        <v>0</v>
      </c>
      <c r="Q112" s="67">
        <f t="shared" si="276"/>
        <v>0</v>
      </c>
      <c r="R112" s="67">
        <f>IF(SUM(M112:Q112)&gt;0,0,1)</f>
        <v>1</v>
      </c>
      <c r="S112" s="470">
        <v>0</v>
      </c>
      <c r="T112" s="470"/>
      <c r="U112" s="470">
        <v>0</v>
      </c>
      <c r="V112" s="470">
        <v>0</v>
      </c>
      <c r="W112" s="470">
        <v>0</v>
      </c>
      <c r="Y112" s="76"/>
      <c r="Z112" s="203"/>
      <c r="AA112" s="380"/>
      <c r="AB112" s="380"/>
      <c r="AC112" s="380"/>
      <c r="AD112" s="468"/>
      <c r="AE112" s="67"/>
      <c r="AF112" s="67">
        <f t="shared" ref="AF112:AI113" si="277">SUMIF($G:$G,TEXT(AF$3,"000")&amp;TEXT($L112,"000"),$E:$E)</f>
        <v>0</v>
      </c>
      <c r="AG112" s="67">
        <f t="shared" si="277"/>
        <v>0</v>
      </c>
      <c r="AH112" s="67">
        <f t="shared" si="277"/>
        <v>0</v>
      </c>
      <c r="AI112" s="67">
        <f t="shared" si="277"/>
        <v>0</v>
      </c>
      <c r="AK112" s="381">
        <f t="shared" ref="AK112:AK142" si="278">ROUND(S112*(1+AK$1),2)</f>
        <v>0</v>
      </c>
      <c r="AL112" s="381"/>
      <c r="AM112" s="381">
        <f t="shared" ref="AM112:AM142" si="279">ROUND(U112*(1+AM$1),2)</f>
        <v>0</v>
      </c>
      <c r="AN112" s="381">
        <f t="shared" ref="AN112:AN142" si="280">ROUND(V112*(1+AN$1),2)</f>
        <v>0</v>
      </c>
      <c r="AO112" s="381">
        <f t="shared" ref="AO112:AO142" si="281">ROUND(W112*(1+AO$1),2)</f>
        <v>0</v>
      </c>
      <c r="AQ112" s="260"/>
      <c r="AU112" s="75"/>
      <c r="AX112" s="392"/>
      <c r="AY112" s="446"/>
      <c r="AZ112" s="446"/>
      <c r="BA112" s="446"/>
      <c r="BB112" s="446"/>
      <c r="BC112" s="446"/>
      <c r="BD112" s="131"/>
      <c r="BE112" s="452"/>
      <c r="BF112" s="52"/>
      <c r="BG112" s="52"/>
      <c r="BH112" s="52"/>
      <c r="BI112" s="52"/>
      <c r="BJ112" s="52"/>
      <c r="BM112" s="249">
        <f t="shared" ref="BM112:BM127" si="282">AK112*$BM$1</f>
        <v>0</v>
      </c>
      <c r="BN112" s="249">
        <f t="shared" ref="BN112:BN127" si="283">AL112*$BM$1</f>
        <v>0</v>
      </c>
      <c r="BO112" s="249">
        <f t="shared" ref="BO112:BQ113" si="284">AM112*$BM$1</f>
        <v>0</v>
      </c>
      <c r="BP112" s="249">
        <f t="shared" si="284"/>
        <v>0</v>
      </c>
      <c r="BQ112" s="249">
        <f t="shared" si="284"/>
        <v>0</v>
      </c>
      <c r="BS112" s="52">
        <f t="shared" ref="BS112:BW113" si="285">BM112-AY112</f>
        <v>0</v>
      </c>
      <c r="BT112" s="52">
        <f t="shared" si="285"/>
        <v>0</v>
      </c>
      <c r="BU112" s="52">
        <f t="shared" si="285"/>
        <v>0</v>
      </c>
      <c r="BV112" s="52">
        <f t="shared" si="285"/>
        <v>0</v>
      </c>
      <c r="BW112" s="52">
        <f t="shared" si="285"/>
        <v>0</v>
      </c>
      <c r="DH112" s="455"/>
      <c r="DI112" s="455"/>
      <c r="DJ112" s="455"/>
      <c r="DK112" s="455"/>
      <c r="DL112" s="455"/>
      <c r="DN112" s="455"/>
      <c r="DO112" s="455"/>
      <c r="DP112" s="455"/>
      <c r="DQ112" s="455"/>
      <c r="DW112" s="509"/>
      <c r="DX112" s="509"/>
      <c r="DY112" s="509"/>
      <c r="DZ112" s="509"/>
      <c r="EA112" s="509"/>
      <c r="EB112" s="509"/>
      <c r="EC112" s="509"/>
      <c r="ED112" s="509"/>
      <c r="EE112" s="509"/>
      <c r="EF112" s="509"/>
      <c r="EG112" s="509"/>
      <c r="EH112" s="509"/>
      <c r="EI112" s="509"/>
      <c r="EJ112" s="509"/>
      <c r="EK112" s="509"/>
      <c r="EL112" s="509"/>
      <c r="EM112" s="509"/>
      <c r="EN112" s="509"/>
      <c r="EO112" s="509"/>
      <c r="EP112" s="509"/>
      <c r="EQ112" s="509"/>
      <c r="ER112" s="509"/>
      <c r="ES112" s="509"/>
      <c r="ET112" s="509"/>
      <c r="EU112" s="509"/>
      <c r="EV112" s="509"/>
      <c r="EW112" s="509"/>
      <c r="EX112" s="509"/>
      <c r="EY112" s="509"/>
      <c r="EZ112" s="509"/>
      <c r="FA112" s="509"/>
      <c r="FB112" s="509"/>
      <c r="FC112" s="509"/>
      <c r="FD112" s="509"/>
      <c r="FE112" s="509"/>
      <c r="FF112" s="509"/>
      <c r="FG112" s="509"/>
      <c r="FH112" s="509"/>
      <c r="FI112" s="509"/>
      <c r="FJ112" s="509"/>
      <c r="FK112" s="509"/>
      <c r="FL112" s="509"/>
      <c r="FM112" s="509"/>
      <c r="FN112" s="509"/>
      <c r="FO112" s="509"/>
      <c r="FP112" s="509"/>
      <c r="FQ112" s="509"/>
      <c r="FR112" s="509"/>
    </row>
    <row r="113" spans="1:180">
      <c r="A113" s="546"/>
      <c r="B113" s="714">
        <v>2</v>
      </c>
      <c r="C113" s="715" t="s">
        <v>100</v>
      </c>
      <c r="D113" s="500" t="s">
        <v>689</v>
      </c>
      <c r="E113" s="716">
        <v>0</v>
      </c>
      <c r="F113" s="717"/>
      <c r="G113" s="717" t="str">
        <f t="shared" si="259"/>
        <v>046055L</v>
      </c>
      <c r="H113" s="247"/>
      <c r="I113" s="468" t="s">
        <v>116</v>
      </c>
      <c r="J113" s="468" t="s">
        <v>113</v>
      </c>
      <c r="K113" s="471" t="s">
        <v>111</v>
      </c>
      <c r="L113" s="472">
        <v>446</v>
      </c>
      <c r="M113" s="67">
        <f t="shared" si="276"/>
        <v>0</v>
      </c>
      <c r="N113" s="67">
        <f t="shared" si="276"/>
        <v>0</v>
      </c>
      <c r="O113" s="67">
        <f t="shared" si="276"/>
        <v>0</v>
      </c>
      <c r="P113" s="67">
        <f t="shared" si="276"/>
        <v>0</v>
      </c>
      <c r="Q113" s="67">
        <f t="shared" si="276"/>
        <v>0</v>
      </c>
      <c r="R113" s="67">
        <f t="shared" ref="R113:R141" si="286">IF(SUM(M113:Q113)&gt;0,0,1)</f>
        <v>1</v>
      </c>
      <c r="S113" s="470">
        <v>0</v>
      </c>
      <c r="T113" s="470"/>
      <c r="U113" s="470">
        <v>0</v>
      </c>
      <c r="V113" s="470">
        <v>0</v>
      </c>
      <c r="W113" s="470">
        <v>0</v>
      </c>
      <c r="Y113" s="260"/>
      <c r="Z113" s="380"/>
      <c r="AA113" s="380"/>
      <c r="AB113" s="380"/>
      <c r="AC113" s="476"/>
      <c r="AD113" s="468"/>
      <c r="AE113" s="67"/>
      <c r="AF113" s="67">
        <f t="shared" si="277"/>
        <v>0</v>
      </c>
      <c r="AG113" s="67">
        <f t="shared" si="277"/>
        <v>0</v>
      </c>
      <c r="AH113" s="67">
        <f t="shared" si="277"/>
        <v>0</v>
      </c>
      <c r="AI113" s="67">
        <f t="shared" si="277"/>
        <v>0</v>
      </c>
      <c r="AK113" s="381">
        <f t="shared" si="278"/>
        <v>0</v>
      </c>
      <c r="AL113" s="606"/>
      <c r="AM113" s="381">
        <f t="shared" si="279"/>
        <v>0</v>
      </c>
      <c r="AN113" s="381">
        <f t="shared" si="280"/>
        <v>0</v>
      </c>
      <c r="AO113" s="381">
        <f t="shared" si="281"/>
        <v>0</v>
      </c>
      <c r="AX113" s="392"/>
      <c r="AY113" s="446"/>
      <c r="AZ113" s="446"/>
      <c r="BA113" s="446"/>
      <c r="BB113" s="446"/>
      <c r="BC113" s="446"/>
      <c r="BD113" s="131"/>
      <c r="BE113" s="452"/>
      <c r="BF113" s="52"/>
      <c r="BG113" s="52"/>
      <c r="BH113" s="52"/>
      <c r="BI113" s="52"/>
      <c r="BJ113" s="52"/>
      <c r="BM113" s="249">
        <f t="shared" si="282"/>
        <v>0</v>
      </c>
      <c r="BN113" s="249">
        <f t="shared" si="283"/>
        <v>0</v>
      </c>
      <c r="BO113" s="249">
        <f t="shared" si="284"/>
        <v>0</v>
      </c>
      <c r="BP113" s="249">
        <f t="shared" si="284"/>
        <v>0</v>
      </c>
      <c r="BQ113" s="249">
        <f t="shared" si="284"/>
        <v>0</v>
      </c>
      <c r="BS113" s="52">
        <f t="shared" si="285"/>
        <v>0</v>
      </c>
      <c r="BT113" s="52">
        <f t="shared" si="285"/>
        <v>0</v>
      </c>
      <c r="BU113" s="52">
        <f t="shared" si="285"/>
        <v>0</v>
      </c>
      <c r="BV113" s="52">
        <f t="shared" si="285"/>
        <v>0</v>
      </c>
      <c r="BW113" s="52">
        <f t="shared" si="285"/>
        <v>0</v>
      </c>
      <c r="DG113" s="455"/>
      <c r="DN113" s="455"/>
      <c r="DO113" s="455"/>
      <c r="DP113" s="455"/>
      <c r="DQ113" s="455"/>
      <c r="DY113" s="509"/>
      <c r="DZ113" s="509"/>
      <c r="EA113" s="509"/>
      <c r="EB113" s="509"/>
      <c r="EC113" s="509"/>
      <c r="ED113" s="509"/>
      <c r="EE113" s="509"/>
      <c r="EF113" s="509"/>
      <c r="EG113" s="509"/>
      <c r="EH113" s="509"/>
      <c r="EI113" s="509"/>
      <c r="EJ113" s="509"/>
      <c r="EK113" s="509"/>
      <c r="EL113" s="509"/>
      <c r="EM113" s="509"/>
      <c r="EN113" s="509"/>
      <c r="EO113" s="509"/>
      <c r="EP113" s="509"/>
      <c r="EQ113" s="509"/>
      <c r="ER113" s="509"/>
      <c r="ES113" s="509"/>
      <c r="ET113" s="509"/>
      <c r="EU113" s="509"/>
      <c r="EV113" s="509"/>
      <c r="EW113" s="509"/>
      <c r="EX113" s="509"/>
      <c r="EY113" s="509"/>
      <c r="EZ113" s="509"/>
      <c r="FA113" s="509"/>
      <c r="FB113" s="509"/>
      <c r="FC113" s="509"/>
      <c r="FD113" s="509"/>
      <c r="FE113" s="509"/>
      <c r="FF113" s="509"/>
      <c r="FG113" s="509"/>
      <c r="FH113" s="509"/>
      <c r="FI113" s="509"/>
      <c r="FJ113" s="509"/>
      <c r="FK113" s="509"/>
      <c r="FL113" s="509"/>
      <c r="FM113" s="509"/>
      <c r="FN113" s="509"/>
      <c r="FO113" s="509"/>
      <c r="FP113" s="509"/>
      <c r="FQ113" s="509"/>
      <c r="FR113" s="509"/>
      <c r="FS113" s="509"/>
      <c r="FT113" s="509"/>
      <c r="FU113" s="509"/>
      <c r="FV113" s="509"/>
      <c r="FW113" s="509"/>
    </row>
    <row r="114" spans="1:180">
      <c r="A114" s="546"/>
      <c r="B114" s="714">
        <v>2</v>
      </c>
      <c r="C114" s="715" t="s">
        <v>100</v>
      </c>
      <c r="D114" s="500" t="s">
        <v>690</v>
      </c>
      <c r="E114" s="716">
        <v>3</v>
      </c>
      <c r="F114" s="717"/>
      <c r="G114" s="717" t="str">
        <f t="shared" si="259"/>
        <v>046065L</v>
      </c>
      <c r="H114" s="247"/>
      <c r="I114" s="468" t="s">
        <v>101</v>
      </c>
      <c r="J114" s="468" t="s">
        <v>85</v>
      </c>
      <c r="K114" s="471">
        <v>10000</v>
      </c>
      <c r="L114" s="472">
        <v>511</v>
      </c>
      <c r="M114" s="481">
        <f t="shared" si="276"/>
        <v>0</v>
      </c>
      <c r="N114" s="481">
        <f t="shared" si="276"/>
        <v>0</v>
      </c>
      <c r="O114" s="481">
        <f t="shared" si="276"/>
        <v>0</v>
      </c>
      <c r="P114" s="481">
        <f t="shared" si="276"/>
        <v>0</v>
      </c>
      <c r="Q114" s="481">
        <f t="shared" si="276"/>
        <v>0</v>
      </c>
      <c r="R114" s="481"/>
      <c r="S114" s="482">
        <v>0</v>
      </c>
      <c r="T114" s="482">
        <v>0</v>
      </c>
      <c r="U114" s="482">
        <v>0</v>
      </c>
      <c r="V114" s="482">
        <v>0</v>
      </c>
      <c r="W114" s="482">
        <v>0</v>
      </c>
      <c r="X114" s="468"/>
      <c r="Y114" s="510"/>
      <c r="Z114" s="510"/>
      <c r="AA114" s="510"/>
      <c r="AB114" s="510"/>
      <c r="AC114" s="510"/>
      <c r="AD114" s="468"/>
      <c r="AE114" s="481">
        <f t="shared" ref="AE114:AI115" si="287">M114</f>
        <v>0</v>
      </c>
      <c r="AF114" s="481">
        <f t="shared" si="287"/>
        <v>0</v>
      </c>
      <c r="AG114" s="481">
        <f t="shared" si="287"/>
        <v>0</v>
      </c>
      <c r="AH114" s="481">
        <f t="shared" si="287"/>
        <v>0</v>
      </c>
      <c r="AI114" s="481">
        <f t="shared" si="287"/>
        <v>0</v>
      </c>
      <c r="AJ114" s="468"/>
      <c r="AK114" s="483">
        <f t="shared" si="278"/>
        <v>0</v>
      </c>
      <c r="AL114" s="483">
        <f t="shared" ref="AL114:AL121" si="288">ROUND(T114*(1+AL$1),2)</f>
        <v>0</v>
      </c>
      <c r="AM114" s="483">
        <f t="shared" si="279"/>
        <v>0</v>
      </c>
      <c r="AN114" s="483">
        <f t="shared" si="280"/>
        <v>0</v>
      </c>
      <c r="AO114" s="483">
        <f t="shared" si="281"/>
        <v>0</v>
      </c>
      <c r="AP114" s="468"/>
      <c r="AQ114" s="510">
        <f t="shared" ref="AQ114:AU115" si="289">IF(AND(AE114&lt;&gt;0,AK114=0),#VALUE!,AE114*AK114)</f>
        <v>0</v>
      </c>
      <c r="AR114" s="510">
        <f t="shared" si="289"/>
        <v>0</v>
      </c>
      <c r="AS114" s="510">
        <f t="shared" si="289"/>
        <v>0</v>
      </c>
      <c r="AT114" s="510">
        <f t="shared" si="289"/>
        <v>0</v>
      </c>
      <c r="AU114" s="510">
        <f t="shared" si="289"/>
        <v>0</v>
      </c>
      <c r="AV114" s="68">
        <f>SUM(AQ114:AU114)-SUM(Y114:AC114)</f>
        <v>0</v>
      </c>
      <c r="AW114" s="68"/>
      <c r="AX114" s="392">
        <v>111</v>
      </c>
      <c r="AY114" s="446">
        <v>20.88</v>
      </c>
      <c r="AZ114" s="446"/>
      <c r="BA114" s="446"/>
      <c r="BB114" s="446"/>
      <c r="BC114" s="446"/>
      <c r="BD114" s="131"/>
      <c r="BE114" s="452">
        <f t="shared" ref="BE114:BE127" si="290">ROUND(AX114*$BE$2,2)+ROUND(AX114*$BE$1,2)</f>
        <v>0.25</v>
      </c>
      <c r="BF114" s="52">
        <f>ROUND((S114*$BF$2)+$BE114-AY114,2)</f>
        <v>-20.63</v>
      </c>
      <c r="BG114" s="52"/>
      <c r="BH114" s="52"/>
      <c r="BI114" s="52"/>
      <c r="BJ114" s="52"/>
      <c r="BM114" s="249">
        <f>AK114*$BM$1</f>
        <v>0</v>
      </c>
      <c r="BN114" s="249">
        <f t="shared" si="283"/>
        <v>0</v>
      </c>
      <c r="BO114" s="249">
        <f t="shared" ref="BO114:BO123" si="291">AM114*$BM$1</f>
        <v>0</v>
      </c>
      <c r="BP114" s="249">
        <f t="shared" ref="BP114:BP123" si="292">AN114*$BM$1</f>
        <v>0</v>
      </c>
      <c r="BQ114" s="249">
        <f t="shared" ref="BQ114:BQ123" si="293">AO114*$BM$1</f>
        <v>0</v>
      </c>
      <c r="BS114" s="52">
        <f t="shared" ref="BS114:BS123" si="294">BM114-AY114</f>
        <v>-20.88</v>
      </c>
      <c r="BT114" s="52">
        <f t="shared" ref="BT114:BT123" si="295">BN114-AZ114</f>
        <v>0</v>
      </c>
      <c r="BU114" s="52">
        <f t="shared" ref="BU114:BU123" si="296">BO114-BA114</f>
        <v>0</v>
      </c>
      <c r="BV114" s="52">
        <f t="shared" ref="BV114:BV123" si="297">BP114-BB114</f>
        <v>0</v>
      </c>
      <c r="BW114" s="52">
        <f t="shared" ref="BW114:BW123" si="298">BQ114-BC114</f>
        <v>0</v>
      </c>
      <c r="DC114" s="455"/>
      <c r="DD114" s="455"/>
      <c r="DE114" s="455"/>
      <c r="DF114" s="455"/>
      <c r="DG114" s="455"/>
      <c r="DR114" s="455"/>
      <c r="DS114" s="455"/>
      <c r="DW114" s="509"/>
      <c r="DX114" s="509"/>
      <c r="DY114" s="509"/>
      <c r="DZ114" s="509"/>
      <c r="EA114" s="509"/>
      <c r="EB114" s="509"/>
      <c r="EC114" s="509"/>
      <c r="ED114" s="509"/>
      <c r="EE114" s="509"/>
      <c r="EF114" s="509"/>
      <c r="EG114" s="509"/>
      <c r="EH114" s="509"/>
      <c r="EI114" s="509"/>
      <c r="EJ114" s="509"/>
      <c r="EK114" s="509"/>
      <c r="EL114" s="509"/>
      <c r="EM114" s="509"/>
      <c r="EN114" s="509"/>
      <c r="EO114" s="509"/>
      <c r="EP114" s="509"/>
      <c r="EQ114" s="509"/>
      <c r="ER114" s="509"/>
      <c r="ES114" s="509"/>
      <c r="ET114" s="509"/>
      <c r="EU114" s="509"/>
      <c r="EV114" s="509"/>
      <c r="EW114" s="509"/>
      <c r="EX114" s="509"/>
      <c r="EY114" s="509"/>
      <c r="EZ114" s="509"/>
      <c r="FA114" s="509"/>
      <c r="FB114" s="509"/>
      <c r="FC114" s="509"/>
      <c r="FD114" s="509"/>
      <c r="FE114" s="509"/>
      <c r="FF114" s="509"/>
      <c r="FG114" s="509"/>
      <c r="FH114" s="509"/>
      <c r="FI114" s="509"/>
      <c r="FJ114" s="509"/>
      <c r="FK114" s="509"/>
      <c r="FL114" s="509"/>
      <c r="FM114" s="509"/>
      <c r="FN114" s="509"/>
      <c r="FO114" s="509"/>
      <c r="FP114" s="509"/>
      <c r="FQ114" s="509"/>
      <c r="FR114" s="509"/>
      <c r="FS114" s="509"/>
      <c r="FT114" s="509"/>
      <c r="FU114" s="509"/>
      <c r="FV114" s="509"/>
      <c r="FW114" s="509"/>
      <c r="FX114" s="509"/>
    </row>
    <row r="115" spans="1:180">
      <c r="A115" s="546"/>
      <c r="B115" s="714">
        <v>2</v>
      </c>
      <c r="C115" s="715" t="s">
        <v>100</v>
      </c>
      <c r="D115" s="500" t="s">
        <v>691</v>
      </c>
      <c r="E115" s="716">
        <v>0</v>
      </c>
      <c r="F115" s="717"/>
      <c r="G115" s="717" t="str">
        <f t="shared" si="259"/>
        <v>046075L</v>
      </c>
      <c r="H115" s="247"/>
      <c r="I115" s="468" t="s">
        <v>116</v>
      </c>
      <c r="J115" s="468" t="s">
        <v>673</v>
      </c>
      <c r="K115" s="471" t="s">
        <v>111</v>
      </c>
      <c r="L115" s="472">
        <v>441</v>
      </c>
      <c r="M115" s="481">
        <f t="shared" si="276"/>
        <v>0</v>
      </c>
      <c r="N115" s="481">
        <f t="shared" si="276"/>
        <v>0</v>
      </c>
      <c r="O115" s="481">
        <f t="shared" si="276"/>
        <v>0</v>
      </c>
      <c r="P115" s="481">
        <f t="shared" si="276"/>
        <v>0</v>
      </c>
      <c r="Q115" s="481">
        <f t="shared" si="276"/>
        <v>0</v>
      </c>
      <c r="R115" s="444">
        <f t="shared" ref="R115:R131" si="299">IF(SUM(M115:Q115)&gt;0,0,1)</f>
        <v>1</v>
      </c>
      <c r="S115" s="482">
        <v>0</v>
      </c>
      <c r="T115" s="482">
        <v>0</v>
      </c>
      <c r="U115" s="482">
        <v>0</v>
      </c>
      <c r="V115" s="482">
        <v>0</v>
      </c>
      <c r="W115" s="482">
        <v>0</v>
      </c>
      <c r="X115" s="468"/>
      <c r="Y115" s="510">
        <f>IF(AND(M115&lt;&gt;0,S115=0),#VALUE!,M115*S115)</f>
        <v>0</v>
      </c>
      <c r="Z115" s="510">
        <f>IF(AND(N115&lt;&gt;0,T115=0),#VALUE!,N115*T115)</f>
        <v>0</v>
      </c>
      <c r="AA115" s="510">
        <f>IF(AND(O115&lt;&gt;0,U115=0),#VALUE!,O115*U115)</f>
        <v>0</v>
      </c>
      <c r="AB115" s="510">
        <f>IF(AND(P115&lt;&gt;0,V115=0),#VALUE!,P115*V115)</f>
        <v>0</v>
      </c>
      <c r="AC115" s="510">
        <f>IF(AND(Q115&lt;&gt;0,W115=0),#VALUE!,Q115*W115)</f>
        <v>0</v>
      </c>
      <c r="AD115" s="468"/>
      <c r="AE115" s="481">
        <f t="shared" si="287"/>
        <v>0</v>
      </c>
      <c r="AF115" s="481">
        <f t="shared" si="287"/>
        <v>0</v>
      </c>
      <c r="AG115" s="481">
        <f t="shared" si="287"/>
        <v>0</v>
      </c>
      <c r="AH115" s="481">
        <f t="shared" si="287"/>
        <v>0</v>
      </c>
      <c r="AI115" s="481">
        <f t="shared" si="287"/>
        <v>0</v>
      </c>
      <c r="AJ115" s="468"/>
      <c r="AK115" s="483">
        <f t="shared" si="278"/>
        <v>0</v>
      </c>
      <c r="AL115" s="483">
        <f t="shared" si="288"/>
        <v>0</v>
      </c>
      <c r="AM115" s="483">
        <f t="shared" si="279"/>
        <v>0</v>
      </c>
      <c r="AN115" s="483">
        <f t="shared" si="280"/>
        <v>0</v>
      </c>
      <c r="AO115" s="483">
        <f t="shared" si="281"/>
        <v>0</v>
      </c>
      <c r="AP115" s="468"/>
      <c r="AQ115" s="510">
        <f t="shared" si="289"/>
        <v>0</v>
      </c>
      <c r="AR115" s="510">
        <f t="shared" si="289"/>
        <v>0</v>
      </c>
      <c r="AS115" s="510">
        <f t="shared" si="289"/>
        <v>0</v>
      </c>
      <c r="AT115" s="510">
        <f t="shared" si="289"/>
        <v>0</v>
      </c>
      <c r="AU115" s="510">
        <f t="shared" si="289"/>
        <v>0</v>
      </c>
      <c r="AV115" s="510">
        <f>SUM(AQ115:AU115)-SUM(Y115:AC115)</f>
        <v>0</v>
      </c>
      <c r="AW115" s="510"/>
      <c r="AX115" s="515">
        <v>80</v>
      </c>
      <c r="AY115" s="516"/>
      <c r="AZ115" s="516">
        <v>29.57</v>
      </c>
      <c r="BA115" s="516">
        <v>14.19</v>
      </c>
      <c r="BB115" s="516"/>
      <c r="BC115" s="516"/>
      <c r="BD115" s="516"/>
      <c r="BE115" s="517">
        <f t="shared" si="290"/>
        <v>0.18000000000000016</v>
      </c>
      <c r="BF115" s="512"/>
      <c r="BG115" s="512">
        <f>ROUND((T115*$BF$2)+$BE115-AZ115,2)</f>
        <v>-29.39</v>
      </c>
      <c r="BH115" s="512">
        <f>ROUND((U115*$BF$2)+$BE115-BA115,2)</f>
        <v>-14.01</v>
      </c>
      <c r="BI115" s="512"/>
      <c r="BJ115" s="512"/>
      <c r="BK115" s="468"/>
      <c r="BL115" s="468"/>
      <c r="BM115" s="513">
        <f t="shared" si="282"/>
        <v>0</v>
      </c>
      <c r="BN115" s="513">
        <f t="shared" si="283"/>
        <v>0</v>
      </c>
      <c r="BO115" s="513">
        <f t="shared" si="291"/>
        <v>0</v>
      </c>
      <c r="BP115" s="513">
        <f t="shared" si="292"/>
        <v>0</v>
      </c>
      <c r="BQ115" s="513">
        <f t="shared" si="293"/>
        <v>0</v>
      </c>
      <c r="BR115" s="468"/>
      <c r="BS115" s="512">
        <f t="shared" si="294"/>
        <v>0</v>
      </c>
      <c r="BT115" s="512">
        <f t="shared" si="295"/>
        <v>-29.57</v>
      </c>
      <c r="BU115" s="512">
        <f t="shared" si="296"/>
        <v>-14.19</v>
      </c>
      <c r="BV115" s="512">
        <f t="shared" si="297"/>
        <v>0</v>
      </c>
      <c r="BW115" s="512">
        <f t="shared" si="298"/>
        <v>0</v>
      </c>
      <c r="DC115" s="455"/>
      <c r="DD115" s="455"/>
      <c r="DE115" s="455"/>
      <c r="DF115" s="455"/>
      <c r="DR115" s="455"/>
      <c r="DS115" s="455"/>
      <c r="DT115" s="509"/>
      <c r="DU115" s="509"/>
      <c r="FA115" s="509"/>
      <c r="FB115" s="509"/>
      <c r="FC115" s="509"/>
      <c r="FD115" s="509"/>
      <c r="FE115" s="509"/>
      <c r="FF115" s="509"/>
      <c r="FG115" s="509"/>
      <c r="FH115" s="509"/>
      <c r="FI115" s="509"/>
      <c r="FJ115" s="509"/>
      <c r="FK115" s="509"/>
      <c r="FL115" s="509"/>
      <c r="FM115" s="509"/>
      <c r="FN115" s="509"/>
      <c r="FO115" s="509"/>
      <c r="FP115" s="509"/>
      <c r="FQ115" s="509"/>
      <c r="FR115" s="509"/>
      <c r="FS115" s="509"/>
      <c r="FT115" s="509"/>
      <c r="FU115" s="509"/>
      <c r="FV115" s="509"/>
      <c r="FW115" s="509"/>
      <c r="FX115" s="509"/>
    </row>
    <row r="116" spans="1:180">
      <c r="A116" s="546"/>
      <c r="B116" s="714">
        <v>2</v>
      </c>
      <c r="C116" s="715" t="s">
        <v>100</v>
      </c>
      <c r="D116" s="500" t="s">
        <v>692</v>
      </c>
      <c r="E116" s="716">
        <v>0</v>
      </c>
      <c r="F116" s="717"/>
      <c r="G116" s="717" t="str">
        <f t="shared" si="259"/>
        <v>046085L</v>
      </c>
      <c r="H116" s="247"/>
      <c r="I116" s="520" t="s">
        <v>116</v>
      </c>
      <c r="J116" s="520" t="s">
        <v>86</v>
      </c>
      <c r="K116" s="521" t="s">
        <v>111</v>
      </c>
      <c r="L116" s="518">
        <v>442</v>
      </c>
      <c r="M116" s="519">
        <f t="shared" si="276"/>
        <v>0</v>
      </c>
      <c r="N116" s="519">
        <f t="shared" si="276"/>
        <v>0</v>
      </c>
      <c r="O116" s="481">
        <f t="shared" si="276"/>
        <v>0</v>
      </c>
      <c r="P116" s="481">
        <f t="shared" si="276"/>
        <v>0</v>
      </c>
      <c r="Q116" s="481">
        <f t="shared" si="276"/>
        <v>0</v>
      </c>
      <c r="R116" s="481">
        <f t="shared" si="299"/>
        <v>1</v>
      </c>
      <c r="S116" s="482">
        <v>0</v>
      </c>
      <c r="T116" s="482">
        <v>0</v>
      </c>
      <c r="U116" s="522">
        <v>0</v>
      </c>
      <c r="V116" s="482">
        <v>0</v>
      </c>
      <c r="W116" s="482">
        <v>0</v>
      </c>
      <c r="X116" s="468"/>
      <c r="Y116" s="468"/>
      <c r="Z116" s="510">
        <f t="shared" ref="Z116:Z123" si="300">IF(AND(N116&lt;&gt;0,T116=0),#VALUE!,N116*T116)</f>
        <v>0</v>
      </c>
      <c r="AA116" s="468"/>
      <c r="AB116" s="468"/>
      <c r="AC116" s="510">
        <f t="shared" ref="AC116:AC121" si="301">IF(AND(Q116&lt;&gt;0,W116=0),#VALUE!,Q116*W116)</f>
        <v>0</v>
      </c>
      <c r="AD116" s="468"/>
      <c r="AE116" s="481">
        <f>SUMIF($G:$G,TEXT(AE$3,"000")&amp;TEXT($L116,"000"),$E:$E)</f>
        <v>0</v>
      </c>
      <c r="AF116" s="481">
        <f>SUMIF($G:$G,TEXT(AF$3,"000")&amp;TEXT($L116,"000"),$E:$E)</f>
        <v>0</v>
      </c>
      <c r="AG116" s="481">
        <f>SUMIF($G:$G,TEXT(AG$3,"000")&amp;TEXT($L116,"000"),$E:$E)</f>
        <v>0</v>
      </c>
      <c r="AH116" s="481">
        <f>SUMIF($G:$G,TEXT(AH$3,"000")&amp;TEXT($L116,"000"),$E:$E)</f>
        <v>0</v>
      </c>
      <c r="AI116" s="481">
        <f>SUMIF($G:$G,TEXT(AI$3,"000")&amp;TEXT($L116,"000"),$E:$E)</f>
        <v>0</v>
      </c>
      <c r="AJ116" s="468"/>
      <c r="AK116" s="483">
        <f t="shared" si="278"/>
        <v>0</v>
      </c>
      <c r="AL116" s="483">
        <f t="shared" si="288"/>
        <v>0</v>
      </c>
      <c r="AM116" s="483">
        <f t="shared" si="279"/>
        <v>0</v>
      </c>
      <c r="AN116" s="483">
        <f t="shared" si="280"/>
        <v>0</v>
      </c>
      <c r="AO116" s="483">
        <f t="shared" si="281"/>
        <v>0</v>
      </c>
      <c r="AP116" s="468"/>
      <c r="AQ116" s="523"/>
      <c r="AR116" s="510">
        <f t="shared" ref="AR116:AR130" si="302">IF(AND(AF116&lt;&gt;0,AL116=0),#VALUE!,AF116*AL116)</f>
        <v>0</v>
      </c>
      <c r="AS116" s="468"/>
      <c r="AT116" s="468"/>
      <c r="AU116" s="468"/>
      <c r="AV116" s="468"/>
      <c r="AW116" s="468"/>
      <c r="AX116" s="515">
        <v>80</v>
      </c>
      <c r="AY116" s="516"/>
      <c r="AZ116" s="516">
        <v>41.39</v>
      </c>
      <c r="BA116" s="516"/>
      <c r="BB116" s="516"/>
      <c r="BC116" s="516"/>
      <c r="BD116" s="516"/>
      <c r="BE116" s="517">
        <f t="shared" si="290"/>
        <v>0.18000000000000016</v>
      </c>
      <c r="BF116" s="512"/>
      <c r="BG116" s="52">
        <f>ROUND((T116*$BF$2)+$BE116-AZ116,2)</f>
        <v>-41.21</v>
      </c>
      <c r="BH116" s="52"/>
      <c r="BI116" s="52"/>
      <c r="BJ116" s="52"/>
      <c r="BM116" s="249">
        <f t="shared" si="282"/>
        <v>0</v>
      </c>
      <c r="BN116" s="249">
        <f t="shared" si="283"/>
        <v>0</v>
      </c>
      <c r="BO116" s="249">
        <f t="shared" si="291"/>
        <v>0</v>
      </c>
      <c r="BP116" s="249">
        <f t="shared" si="292"/>
        <v>0</v>
      </c>
      <c r="BQ116" s="249">
        <f t="shared" si="293"/>
        <v>0</v>
      </c>
      <c r="BS116" s="52">
        <f t="shared" si="294"/>
        <v>0</v>
      </c>
      <c r="BT116" s="52">
        <f t="shared" si="295"/>
        <v>-41.39</v>
      </c>
      <c r="BU116" s="52">
        <f t="shared" si="296"/>
        <v>0</v>
      </c>
      <c r="BV116" s="52">
        <f t="shared" si="297"/>
        <v>0</v>
      </c>
      <c r="BW116" s="52">
        <f t="shared" si="298"/>
        <v>0</v>
      </c>
      <c r="DB116" s="455"/>
      <c r="DT116" s="509"/>
      <c r="DU116" s="509"/>
      <c r="FA116" s="509"/>
      <c r="FB116" s="509"/>
      <c r="FC116" s="509"/>
      <c r="FD116" s="509"/>
      <c r="FE116" s="509"/>
      <c r="FF116" s="509"/>
      <c r="FG116" s="509"/>
      <c r="FH116" s="509"/>
      <c r="FI116" s="509"/>
      <c r="FJ116" s="509"/>
      <c r="FK116" s="509"/>
      <c r="FL116" s="509"/>
      <c r="FM116" s="509"/>
      <c r="FN116" s="509"/>
      <c r="FO116" s="509"/>
      <c r="FP116" s="509"/>
      <c r="FQ116" s="509"/>
      <c r="FR116" s="509"/>
      <c r="FS116" s="509"/>
      <c r="FT116" s="509"/>
      <c r="FU116" s="509"/>
      <c r="FV116" s="509"/>
      <c r="FW116" s="509"/>
      <c r="FX116" s="509"/>
    </row>
    <row r="117" spans="1:180">
      <c r="A117" s="546"/>
      <c r="B117" s="714">
        <v>2</v>
      </c>
      <c r="C117" s="715" t="s">
        <v>100</v>
      </c>
      <c r="D117" s="500" t="s">
        <v>693</v>
      </c>
      <c r="E117" s="716">
        <v>0</v>
      </c>
      <c r="F117" s="717"/>
      <c r="G117" s="717" t="str">
        <f t="shared" si="259"/>
        <v>046095L</v>
      </c>
      <c r="H117" s="247"/>
      <c r="I117" s="468" t="s">
        <v>105</v>
      </c>
      <c r="J117" s="468" t="s">
        <v>86</v>
      </c>
      <c r="K117" s="471" t="s">
        <v>119</v>
      </c>
      <c r="L117" s="472">
        <v>522</v>
      </c>
      <c r="M117" s="481">
        <f t="shared" si="276"/>
        <v>0</v>
      </c>
      <c r="N117" s="481">
        <f t="shared" si="276"/>
        <v>0</v>
      </c>
      <c r="O117" s="481">
        <f t="shared" si="276"/>
        <v>0</v>
      </c>
      <c r="P117" s="481">
        <f t="shared" si="276"/>
        <v>0</v>
      </c>
      <c r="Q117" s="481">
        <f t="shared" si="276"/>
        <v>0</v>
      </c>
      <c r="R117" s="481">
        <f t="shared" si="299"/>
        <v>1</v>
      </c>
      <c r="S117" s="482">
        <v>0</v>
      </c>
      <c r="T117" s="482">
        <v>0</v>
      </c>
      <c r="U117" s="482">
        <v>0</v>
      </c>
      <c r="V117" s="482">
        <v>0</v>
      </c>
      <c r="W117" s="482">
        <v>0</v>
      </c>
      <c r="X117" s="468"/>
      <c r="Y117" s="510">
        <f t="shared" ref="Y117:Y123" si="303">IF(AND(M117&lt;&gt;0,S117=0),#VALUE!,M117*S117)</f>
        <v>0</v>
      </c>
      <c r="Z117" s="510">
        <f t="shared" si="300"/>
        <v>0</v>
      </c>
      <c r="AA117" s="510">
        <f t="shared" ref="AA117:AB121" si="304">IF(AND(O117&lt;&gt;0,U117=0),#VALUE!,O117*U117)</f>
        <v>0</v>
      </c>
      <c r="AB117" s="510">
        <f t="shared" si="304"/>
        <v>0</v>
      </c>
      <c r="AC117" s="510">
        <f t="shared" si="301"/>
        <v>0</v>
      </c>
      <c r="AD117" s="468"/>
      <c r="AE117" s="481">
        <f t="shared" ref="AE117:AI121" si="305">M117</f>
        <v>0</v>
      </c>
      <c r="AF117" s="481">
        <f t="shared" si="305"/>
        <v>0</v>
      </c>
      <c r="AG117" s="481">
        <f t="shared" si="305"/>
        <v>0</v>
      </c>
      <c r="AH117" s="481">
        <f t="shared" si="305"/>
        <v>0</v>
      </c>
      <c r="AI117" s="481">
        <f t="shared" si="305"/>
        <v>0</v>
      </c>
      <c r="AJ117" s="468"/>
      <c r="AK117" s="483">
        <f t="shared" si="278"/>
        <v>0</v>
      </c>
      <c r="AL117" s="483">
        <f t="shared" si="288"/>
        <v>0</v>
      </c>
      <c r="AM117" s="483">
        <f t="shared" si="279"/>
        <v>0</v>
      </c>
      <c r="AN117" s="483">
        <f t="shared" si="280"/>
        <v>0</v>
      </c>
      <c r="AO117" s="483">
        <f t="shared" si="281"/>
        <v>0</v>
      </c>
      <c r="AP117" s="468"/>
      <c r="AQ117" s="510">
        <f t="shared" ref="AQ117:AQ130" si="306">IF(AND(AE117&lt;&gt;0,AK117=0),#VALUE!,AE117*AK117)</f>
        <v>0</v>
      </c>
      <c r="AR117" s="510">
        <f t="shared" si="302"/>
        <v>0</v>
      </c>
      <c r="AS117" s="510">
        <f t="shared" ref="AS117:AS130" si="307">IF(AND(AG117&lt;&gt;0,AM117=0),#VALUE!,AG117*AM117)</f>
        <v>0</v>
      </c>
      <c r="AT117" s="510">
        <f t="shared" ref="AT117:AT130" si="308">IF(AND(AH117&lt;&gt;0,AN117=0),#VALUE!,AH117*AN117)</f>
        <v>0</v>
      </c>
      <c r="AU117" s="510">
        <f t="shared" ref="AU117:AU130" si="309">IF(AND(AI117&lt;&gt;0,AO117=0),#VALUE!,AI117*AO117)</f>
        <v>0</v>
      </c>
      <c r="AV117" s="510">
        <f>SUM(AQ117:AU117)-SUM(Y117:AC117)</f>
        <v>0</v>
      </c>
      <c r="AW117" s="510"/>
      <c r="AX117" s="515">
        <v>85</v>
      </c>
      <c r="AY117" s="516"/>
      <c r="AZ117" s="516">
        <v>59.82</v>
      </c>
      <c r="BA117" s="516"/>
      <c r="BB117" s="516"/>
      <c r="BC117" s="516"/>
      <c r="BD117" s="516"/>
      <c r="BE117" s="517">
        <f t="shared" si="290"/>
        <v>0.17999999999999994</v>
      </c>
      <c r="BF117" s="512"/>
      <c r="BG117" s="512">
        <f>ROUND((T117*$BF$2)+$BE117-AZ117,2)</f>
        <v>-59.64</v>
      </c>
      <c r="BH117" s="512"/>
      <c r="BI117" s="512"/>
      <c r="BJ117" s="512"/>
      <c r="BK117" s="468"/>
      <c r="BL117" s="468"/>
      <c r="BM117" s="513">
        <f t="shared" si="282"/>
        <v>0</v>
      </c>
      <c r="BN117" s="249">
        <f t="shared" si="283"/>
        <v>0</v>
      </c>
      <c r="BO117" s="249">
        <f t="shared" si="291"/>
        <v>0</v>
      </c>
      <c r="BP117" s="249">
        <f t="shared" si="292"/>
        <v>0</v>
      </c>
      <c r="BQ117" s="249">
        <f t="shared" si="293"/>
        <v>0</v>
      </c>
      <c r="BS117" s="52">
        <f t="shared" si="294"/>
        <v>0</v>
      </c>
      <c r="BT117" s="52">
        <f t="shared" si="295"/>
        <v>-59.82</v>
      </c>
      <c r="BU117" s="52">
        <f t="shared" si="296"/>
        <v>0</v>
      </c>
      <c r="BV117" s="52">
        <f t="shared" si="297"/>
        <v>0</v>
      </c>
      <c r="BW117" s="52">
        <f t="shared" si="298"/>
        <v>0</v>
      </c>
      <c r="DA117" s="455"/>
      <c r="DB117" s="455"/>
      <c r="DT117" s="509"/>
      <c r="DU117" s="509"/>
      <c r="FA117" s="509"/>
      <c r="FB117" s="509"/>
      <c r="FC117" s="509"/>
      <c r="FD117" s="509"/>
      <c r="FE117" s="509"/>
      <c r="FF117" s="509"/>
      <c r="FG117" s="509"/>
      <c r="FH117" s="509"/>
      <c r="FI117" s="509"/>
      <c r="FJ117" s="509"/>
      <c r="FK117" s="509"/>
      <c r="FL117" s="509"/>
      <c r="FM117" s="509"/>
      <c r="FN117" s="509"/>
      <c r="FO117" s="509"/>
      <c r="FP117" s="509"/>
      <c r="FQ117" s="509"/>
      <c r="FR117" s="509"/>
      <c r="FS117" s="509"/>
      <c r="FT117" s="509"/>
      <c r="FU117" s="509"/>
      <c r="FV117" s="509"/>
      <c r="FW117" s="509"/>
      <c r="FX117" s="509"/>
    </row>
    <row r="118" spans="1:180">
      <c r="A118" s="546"/>
      <c r="B118" s="714">
        <v>2</v>
      </c>
      <c r="C118" s="715" t="s">
        <v>100</v>
      </c>
      <c r="D118" s="500" t="s">
        <v>694</v>
      </c>
      <c r="E118" s="716">
        <v>8</v>
      </c>
      <c r="F118" s="717"/>
      <c r="G118" s="717" t="str">
        <f t="shared" si="259"/>
        <v>046105L</v>
      </c>
      <c r="H118" s="247"/>
      <c r="I118" s="468" t="s">
        <v>402</v>
      </c>
      <c r="J118" s="468" t="s">
        <v>87</v>
      </c>
      <c r="K118" s="471" t="s">
        <v>119</v>
      </c>
      <c r="L118" s="518">
        <v>538</v>
      </c>
      <c r="M118" s="519">
        <f t="shared" si="276"/>
        <v>0</v>
      </c>
      <c r="N118" s="519">
        <f t="shared" si="276"/>
        <v>0</v>
      </c>
      <c r="O118" s="481">
        <f t="shared" si="276"/>
        <v>0</v>
      </c>
      <c r="P118" s="481">
        <f t="shared" si="276"/>
        <v>0</v>
      </c>
      <c r="Q118" s="481">
        <f t="shared" si="276"/>
        <v>0</v>
      </c>
      <c r="R118" s="481">
        <f t="shared" si="299"/>
        <v>1</v>
      </c>
      <c r="S118" s="482">
        <v>0</v>
      </c>
      <c r="T118" s="482">
        <v>0</v>
      </c>
      <c r="U118" s="482">
        <v>0</v>
      </c>
      <c r="V118" s="482">
        <v>0</v>
      </c>
      <c r="W118" s="482">
        <v>0</v>
      </c>
      <c r="X118" s="468"/>
      <c r="Y118" s="510">
        <f t="shared" si="303"/>
        <v>0</v>
      </c>
      <c r="Z118" s="510">
        <f t="shared" si="300"/>
        <v>0</v>
      </c>
      <c r="AA118" s="510">
        <f t="shared" si="304"/>
        <v>0</v>
      </c>
      <c r="AB118" s="510">
        <f t="shared" si="304"/>
        <v>0</v>
      </c>
      <c r="AC118" s="510">
        <f t="shared" si="301"/>
        <v>0</v>
      </c>
      <c r="AD118" s="468"/>
      <c r="AE118" s="481">
        <f t="shared" si="305"/>
        <v>0</v>
      </c>
      <c r="AF118" s="481">
        <f t="shared" si="305"/>
        <v>0</v>
      </c>
      <c r="AG118" s="481">
        <f t="shared" si="305"/>
        <v>0</v>
      </c>
      <c r="AH118" s="481">
        <f t="shared" si="305"/>
        <v>0</v>
      </c>
      <c r="AI118" s="481">
        <f t="shared" si="305"/>
        <v>0</v>
      </c>
      <c r="AJ118" s="468"/>
      <c r="AK118" s="483">
        <f t="shared" si="278"/>
        <v>0</v>
      </c>
      <c r="AL118" s="483">
        <f t="shared" si="288"/>
        <v>0</v>
      </c>
      <c r="AM118" s="483">
        <f t="shared" si="279"/>
        <v>0</v>
      </c>
      <c r="AN118" s="483">
        <f t="shared" si="280"/>
        <v>0</v>
      </c>
      <c r="AO118" s="483">
        <f t="shared" si="281"/>
        <v>0</v>
      </c>
      <c r="AP118" s="468"/>
      <c r="AQ118" s="510">
        <f t="shared" si="306"/>
        <v>0</v>
      </c>
      <c r="AR118" s="510">
        <f t="shared" si="302"/>
        <v>0</v>
      </c>
      <c r="AS118" s="510">
        <f t="shared" si="307"/>
        <v>0</v>
      </c>
      <c r="AT118" s="510">
        <f t="shared" si="308"/>
        <v>0</v>
      </c>
      <c r="AU118" s="510">
        <f t="shared" si="309"/>
        <v>0</v>
      </c>
      <c r="AV118" s="510"/>
      <c r="AW118" s="510"/>
      <c r="AX118" s="515">
        <v>85</v>
      </c>
      <c r="AY118" s="516"/>
      <c r="AZ118" s="516">
        <v>24.3</v>
      </c>
      <c r="BA118" s="516"/>
      <c r="BB118" s="516"/>
      <c r="BC118" s="516"/>
      <c r="BD118" s="516"/>
      <c r="BE118" s="517">
        <f t="shared" si="290"/>
        <v>0.17999999999999994</v>
      </c>
      <c r="BF118" s="512"/>
      <c r="BG118" s="512">
        <f>ROUND((T118*$BF$2)+$BE118-AZ118,2)</f>
        <v>-24.12</v>
      </c>
      <c r="BH118" s="512"/>
      <c r="BI118" s="512"/>
      <c r="BJ118" s="512"/>
      <c r="BK118" s="468"/>
      <c r="BL118" s="468"/>
      <c r="BM118" s="513">
        <f t="shared" si="282"/>
        <v>0</v>
      </c>
      <c r="BN118" s="513">
        <f t="shared" si="283"/>
        <v>0</v>
      </c>
      <c r="BO118" s="513">
        <f t="shared" si="291"/>
        <v>0</v>
      </c>
      <c r="BP118" s="513">
        <f t="shared" si="292"/>
        <v>0</v>
      </c>
      <c r="BQ118" s="513">
        <f t="shared" si="293"/>
        <v>0</v>
      </c>
      <c r="BR118" s="293"/>
      <c r="BS118" s="52">
        <f t="shared" si="294"/>
        <v>0</v>
      </c>
      <c r="BT118" s="52">
        <f t="shared" si="295"/>
        <v>-24.3</v>
      </c>
      <c r="BU118" s="52">
        <f t="shared" si="296"/>
        <v>0</v>
      </c>
      <c r="BV118" s="52">
        <f t="shared" si="297"/>
        <v>0</v>
      </c>
      <c r="BW118" s="52">
        <f t="shared" si="298"/>
        <v>0</v>
      </c>
      <c r="BX118" s="468"/>
      <c r="BY118" s="468"/>
      <c r="BZ118" s="468"/>
      <c r="CA118" s="468"/>
      <c r="CB118" s="468"/>
      <c r="CC118" s="468"/>
      <c r="CD118" s="468"/>
      <c r="CE118" s="468"/>
      <c r="CF118" s="468"/>
      <c r="CG118" s="468"/>
      <c r="CH118" s="468"/>
      <c r="CI118" s="468"/>
      <c r="CJ118" s="468"/>
      <c r="CK118" s="468"/>
      <c r="CL118" s="468"/>
      <c r="CM118" s="468"/>
      <c r="CN118" s="468"/>
      <c r="CO118" s="468"/>
      <c r="CP118" s="468"/>
      <c r="CQ118" s="468"/>
      <c r="CR118" s="468"/>
      <c r="CS118" s="468"/>
      <c r="CT118" s="468"/>
      <c r="DT118" s="509"/>
      <c r="DU118" s="509"/>
      <c r="FS118" s="509"/>
      <c r="FT118" s="509"/>
      <c r="FU118" s="509"/>
      <c r="FV118" s="509"/>
      <c r="FX118" s="509"/>
    </row>
    <row r="119" spans="1:180">
      <c r="A119" s="546"/>
      <c r="B119" s="714">
        <v>2</v>
      </c>
      <c r="C119" s="715" t="s">
        <v>100</v>
      </c>
      <c r="D119" s="500" t="s">
        <v>695</v>
      </c>
      <c r="E119" s="716">
        <v>0</v>
      </c>
      <c r="F119" s="717"/>
      <c r="G119" s="717" t="str">
        <f t="shared" si="259"/>
        <v>046115L</v>
      </c>
      <c r="H119" s="247"/>
      <c r="I119" s="468" t="s">
        <v>116</v>
      </c>
      <c r="J119" s="468" t="s">
        <v>86</v>
      </c>
      <c r="K119" s="471" t="s">
        <v>119</v>
      </c>
      <c r="L119" s="472">
        <v>542</v>
      </c>
      <c r="M119" s="481">
        <f t="shared" si="276"/>
        <v>0</v>
      </c>
      <c r="N119" s="481">
        <f t="shared" si="276"/>
        <v>0</v>
      </c>
      <c r="O119" s="481">
        <f t="shared" si="276"/>
        <v>0</v>
      </c>
      <c r="P119" s="481">
        <f t="shared" si="276"/>
        <v>0</v>
      </c>
      <c r="Q119" s="481">
        <f t="shared" si="276"/>
        <v>0</v>
      </c>
      <c r="R119" s="481">
        <f t="shared" si="299"/>
        <v>1</v>
      </c>
      <c r="S119" s="482">
        <v>0</v>
      </c>
      <c r="T119" s="482">
        <v>0</v>
      </c>
      <c r="U119" s="482">
        <v>0</v>
      </c>
      <c r="V119" s="482">
        <v>0</v>
      </c>
      <c r="W119" s="482">
        <v>0</v>
      </c>
      <c r="X119" s="468"/>
      <c r="Y119" s="510">
        <f t="shared" si="303"/>
        <v>0</v>
      </c>
      <c r="Z119" s="510">
        <f t="shared" si="300"/>
        <v>0</v>
      </c>
      <c r="AA119" s="510">
        <f t="shared" si="304"/>
        <v>0</v>
      </c>
      <c r="AB119" s="510">
        <f t="shared" si="304"/>
        <v>0</v>
      </c>
      <c r="AC119" s="510">
        <f t="shared" si="301"/>
        <v>0</v>
      </c>
      <c r="AD119" s="468"/>
      <c r="AE119" s="481">
        <f t="shared" si="305"/>
        <v>0</v>
      </c>
      <c r="AF119" s="481">
        <f t="shared" si="305"/>
        <v>0</v>
      </c>
      <c r="AG119" s="481">
        <f t="shared" si="305"/>
        <v>0</v>
      </c>
      <c r="AH119" s="481">
        <f t="shared" si="305"/>
        <v>0</v>
      </c>
      <c r="AI119" s="481">
        <f t="shared" si="305"/>
        <v>0</v>
      </c>
      <c r="AJ119" s="468"/>
      <c r="AK119" s="483">
        <f t="shared" si="278"/>
        <v>0</v>
      </c>
      <c r="AL119" s="483">
        <f t="shared" si="288"/>
        <v>0</v>
      </c>
      <c r="AM119" s="483">
        <f t="shared" si="279"/>
        <v>0</v>
      </c>
      <c r="AN119" s="483">
        <f t="shared" si="280"/>
        <v>0</v>
      </c>
      <c r="AO119" s="483">
        <f t="shared" si="281"/>
        <v>0</v>
      </c>
      <c r="AP119" s="468"/>
      <c r="AQ119" s="510">
        <f t="shared" si="306"/>
        <v>0</v>
      </c>
      <c r="AR119" s="510">
        <f t="shared" si="302"/>
        <v>0</v>
      </c>
      <c r="AS119" s="510">
        <f t="shared" si="307"/>
        <v>0</v>
      </c>
      <c r="AT119" s="510">
        <f t="shared" si="308"/>
        <v>0</v>
      </c>
      <c r="AU119" s="510">
        <f t="shared" si="309"/>
        <v>0</v>
      </c>
      <c r="AV119" s="510">
        <f>SUM(AQ119:AU119)-SUM(Y119:AC119)</f>
        <v>0</v>
      </c>
      <c r="AW119" s="510"/>
      <c r="AX119" s="515">
        <v>170</v>
      </c>
      <c r="AY119" s="516"/>
      <c r="AZ119" s="516">
        <v>61.09</v>
      </c>
      <c r="BA119" s="516">
        <v>23.76</v>
      </c>
      <c r="BB119" s="516"/>
      <c r="BC119" s="516"/>
      <c r="BD119" s="516"/>
      <c r="BE119" s="517">
        <f t="shared" si="290"/>
        <v>0.38000000000000012</v>
      </c>
      <c r="BF119" s="512"/>
      <c r="BG119" s="512">
        <f>ROUND((T119*$BF$2)+$BE119-AZ119,2)</f>
        <v>-60.71</v>
      </c>
      <c r="BH119" s="512">
        <f>ROUND((U119*$BF$2)+$BE119-BA119,2)</f>
        <v>-23.38</v>
      </c>
      <c r="BI119" s="512"/>
      <c r="BJ119" s="512"/>
      <c r="BK119" s="468"/>
      <c r="BL119" s="468"/>
      <c r="BM119" s="513">
        <f t="shared" si="282"/>
        <v>0</v>
      </c>
      <c r="BN119" s="513">
        <f t="shared" si="283"/>
        <v>0</v>
      </c>
      <c r="BO119" s="513">
        <f t="shared" si="291"/>
        <v>0</v>
      </c>
      <c r="BP119" s="513">
        <f t="shared" si="292"/>
        <v>0</v>
      </c>
      <c r="BQ119" s="513">
        <f t="shared" si="293"/>
        <v>0</v>
      </c>
      <c r="BR119" s="468"/>
      <c r="BS119" s="512">
        <f t="shared" si="294"/>
        <v>0</v>
      </c>
      <c r="BT119" s="512">
        <f t="shared" si="295"/>
        <v>-61.09</v>
      </c>
      <c r="BU119" s="512">
        <f t="shared" si="296"/>
        <v>-23.76</v>
      </c>
      <c r="BV119" s="512">
        <f t="shared" si="297"/>
        <v>0</v>
      </c>
      <c r="BW119" s="512">
        <f t="shared" si="298"/>
        <v>0</v>
      </c>
      <c r="CL119" s="388"/>
      <c r="CV119" s="468"/>
      <c r="CW119" s="468"/>
      <c r="CX119" s="468"/>
      <c r="CY119" s="468"/>
      <c r="CZ119" s="468"/>
      <c r="DU119" s="509"/>
    </row>
    <row r="120" spans="1:180">
      <c r="A120" s="546"/>
      <c r="B120" s="714">
        <v>2</v>
      </c>
      <c r="C120" s="715" t="s">
        <v>100</v>
      </c>
      <c r="D120" s="500" t="s">
        <v>696</v>
      </c>
      <c r="E120" s="716">
        <v>159</v>
      </c>
      <c r="F120" s="717"/>
      <c r="G120" s="717" t="str">
        <f t="shared" si="259"/>
        <v>046125L</v>
      </c>
      <c r="H120" s="247"/>
      <c r="I120" s="468" t="s">
        <v>110</v>
      </c>
      <c r="J120" s="468" t="s">
        <v>123</v>
      </c>
      <c r="K120" s="471">
        <v>55000</v>
      </c>
      <c r="L120" s="472">
        <v>819</v>
      </c>
      <c r="M120" s="481">
        <f t="shared" si="276"/>
        <v>0</v>
      </c>
      <c r="N120" s="481">
        <f t="shared" si="276"/>
        <v>0</v>
      </c>
      <c r="O120" s="481">
        <f t="shared" si="276"/>
        <v>0</v>
      </c>
      <c r="P120" s="481">
        <f t="shared" si="276"/>
        <v>0</v>
      </c>
      <c r="Q120" s="481">
        <f t="shared" si="276"/>
        <v>0</v>
      </c>
      <c r="R120" s="481">
        <f t="shared" si="299"/>
        <v>1</v>
      </c>
      <c r="S120" s="482">
        <v>0</v>
      </c>
      <c r="T120" s="482">
        <v>0</v>
      </c>
      <c r="U120" s="482">
        <v>0</v>
      </c>
      <c r="V120" s="482">
        <v>0</v>
      </c>
      <c r="W120" s="482">
        <v>0</v>
      </c>
      <c r="X120" s="468"/>
      <c r="Y120" s="510">
        <f t="shared" si="303"/>
        <v>0</v>
      </c>
      <c r="Z120" s="510">
        <f t="shared" si="300"/>
        <v>0</v>
      </c>
      <c r="AA120" s="510">
        <f t="shared" si="304"/>
        <v>0</v>
      </c>
      <c r="AB120" s="510">
        <f t="shared" si="304"/>
        <v>0</v>
      </c>
      <c r="AC120" s="510">
        <f t="shared" si="301"/>
        <v>0</v>
      </c>
      <c r="AD120" s="468"/>
      <c r="AE120" s="481">
        <f t="shared" si="305"/>
        <v>0</v>
      </c>
      <c r="AF120" s="481">
        <f t="shared" si="305"/>
        <v>0</v>
      </c>
      <c r="AG120" s="481">
        <f t="shared" si="305"/>
        <v>0</v>
      </c>
      <c r="AH120" s="481">
        <f t="shared" si="305"/>
        <v>0</v>
      </c>
      <c r="AI120" s="481">
        <f t="shared" si="305"/>
        <v>0</v>
      </c>
      <c r="AJ120" s="468"/>
      <c r="AK120" s="483">
        <f t="shared" si="278"/>
        <v>0</v>
      </c>
      <c r="AL120" s="483">
        <f t="shared" si="288"/>
        <v>0</v>
      </c>
      <c r="AM120" s="483">
        <f t="shared" si="279"/>
        <v>0</v>
      </c>
      <c r="AN120" s="483">
        <f t="shared" si="280"/>
        <v>0</v>
      </c>
      <c r="AO120" s="483">
        <f t="shared" si="281"/>
        <v>0</v>
      </c>
      <c r="AP120" s="468"/>
      <c r="AQ120" s="510">
        <f t="shared" si="306"/>
        <v>0</v>
      </c>
      <c r="AR120" s="510">
        <f t="shared" si="302"/>
        <v>0</v>
      </c>
      <c r="AS120" s="510">
        <f t="shared" si="307"/>
        <v>0</v>
      </c>
      <c r="AT120" s="510">
        <f t="shared" si="308"/>
        <v>0</v>
      </c>
      <c r="AU120" s="510">
        <f t="shared" si="309"/>
        <v>0</v>
      </c>
      <c r="AV120" s="510">
        <f>SUM(AQ120:AU120)-SUM(Y120:AC120)</f>
        <v>0</v>
      </c>
      <c r="AW120" s="510"/>
      <c r="AX120" s="515">
        <v>417</v>
      </c>
      <c r="AY120" s="516"/>
      <c r="AZ120" s="516"/>
      <c r="BA120" s="516"/>
      <c r="BB120" s="516">
        <v>28.89</v>
      </c>
      <c r="BC120" s="516"/>
      <c r="BD120" s="516"/>
      <c r="BE120" s="517">
        <f t="shared" si="290"/>
        <v>0.91999999999999993</v>
      </c>
      <c r="BF120" s="512"/>
      <c r="BG120" s="512"/>
      <c r="BH120" s="512"/>
      <c r="BI120" s="512">
        <f>ROUND((V120*$BF$2)+$BE120-BB120,2)</f>
        <v>-27.97</v>
      </c>
      <c r="BJ120" s="512"/>
      <c r="BK120" s="468"/>
      <c r="BL120" s="468"/>
      <c r="BM120" s="513">
        <f t="shared" si="282"/>
        <v>0</v>
      </c>
      <c r="BN120" s="513">
        <f t="shared" si="283"/>
        <v>0</v>
      </c>
      <c r="BO120" s="513">
        <f t="shared" si="291"/>
        <v>0</v>
      </c>
      <c r="BP120" s="513">
        <f t="shared" si="292"/>
        <v>0</v>
      </c>
      <c r="BQ120" s="513">
        <f t="shared" si="293"/>
        <v>0</v>
      </c>
      <c r="BR120" s="468"/>
      <c r="BS120" s="512">
        <f t="shared" si="294"/>
        <v>0</v>
      </c>
      <c r="BT120" s="512">
        <f t="shared" si="295"/>
        <v>0</v>
      </c>
      <c r="BU120" s="512">
        <f t="shared" si="296"/>
        <v>0</v>
      </c>
      <c r="BV120" s="512">
        <f t="shared" si="297"/>
        <v>-28.89</v>
      </c>
      <c r="BW120" s="512">
        <f t="shared" si="298"/>
        <v>0</v>
      </c>
      <c r="CU120" s="468"/>
    </row>
    <row r="121" spans="1:180">
      <c r="A121" s="546"/>
      <c r="B121" s="714">
        <v>2</v>
      </c>
      <c r="C121" s="715" t="s">
        <v>100</v>
      </c>
      <c r="D121" s="500" t="s">
        <v>697</v>
      </c>
      <c r="E121" s="716">
        <v>36</v>
      </c>
      <c r="F121" s="717"/>
      <c r="G121" s="717" t="str">
        <f t="shared" si="259"/>
        <v>046135L</v>
      </c>
      <c r="H121" s="247"/>
      <c r="I121" s="468" t="s">
        <v>105</v>
      </c>
      <c r="J121" s="468" t="s">
        <v>113</v>
      </c>
      <c r="K121" s="471" t="s">
        <v>124</v>
      </c>
      <c r="L121" s="472">
        <v>836</v>
      </c>
      <c r="M121" s="481">
        <f t="shared" si="276"/>
        <v>0</v>
      </c>
      <c r="N121" s="481">
        <f t="shared" si="276"/>
        <v>0</v>
      </c>
      <c r="O121" s="481">
        <f t="shared" si="276"/>
        <v>0</v>
      </c>
      <c r="P121" s="481">
        <f t="shared" si="276"/>
        <v>0</v>
      </c>
      <c r="Q121" s="481">
        <f t="shared" si="276"/>
        <v>0</v>
      </c>
      <c r="R121" s="481">
        <f t="shared" si="299"/>
        <v>1</v>
      </c>
      <c r="S121" s="482">
        <v>0</v>
      </c>
      <c r="T121" s="482">
        <v>0</v>
      </c>
      <c r="U121" s="482">
        <v>0</v>
      </c>
      <c r="V121" s="482">
        <v>0</v>
      </c>
      <c r="W121" s="482">
        <v>0</v>
      </c>
      <c r="X121" s="468"/>
      <c r="Y121" s="510">
        <f t="shared" si="303"/>
        <v>0</v>
      </c>
      <c r="Z121" s="510">
        <f t="shared" si="300"/>
        <v>0</v>
      </c>
      <c r="AA121" s="510">
        <f t="shared" si="304"/>
        <v>0</v>
      </c>
      <c r="AB121" s="510">
        <f t="shared" si="304"/>
        <v>0</v>
      </c>
      <c r="AC121" s="510">
        <f t="shared" si="301"/>
        <v>0</v>
      </c>
      <c r="AD121" s="468"/>
      <c r="AE121" s="481">
        <f t="shared" si="305"/>
        <v>0</v>
      </c>
      <c r="AF121" s="481">
        <f t="shared" si="305"/>
        <v>0</v>
      </c>
      <c r="AG121" s="481">
        <f t="shared" si="305"/>
        <v>0</v>
      </c>
      <c r="AH121" s="481">
        <f t="shared" si="305"/>
        <v>0</v>
      </c>
      <c r="AI121" s="481">
        <f t="shared" si="305"/>
        <v>0</v>
      </c>
      <c r="AJ121" s="468"/>
      <c r="AK121" s="483">
        <f t="shared" si="278"/>
        <v>0</v>
      </c>
      <c r="AL121" s="483">
        <f t="shared" si="288"/>
        <v>0</v>
      </c>
      <c r="AM121" s="483">
        <f t="shared" si="279"/>
        <v>0</v>
      </c>
      <c r="AN121" s="483">
        <f t="shared" si="280"/>
        <v>0</v>
      </c>
      <c r="AO121" s="483">
        <f t="shared" si="281"/>
        <v>0</v>
      </c>
      <c r="AP121" s="468"/>
      <c r="AQ121" s="510">
        <f t="shared" si="306"/>
        <v>0</v>
      </c>
      <c r="AR121" s="510">
        <f t="shared" si="302"/>
        <v>0</v>
      </c>
      <c r="AS121" s="510">
        <f t="shared" si="307"/>
        <v>0</v>
      </c>
      <c r="AT121" s="510">
        <f t="shared" si="308"/>
        <v>0</v>
      </c>
      <c r="AU121" s="510">
        <f t="shared" si="309"/>
        <v>0</v>
      </c>
      <c r="AV121" s="510">
        <f>SUM(AQ121:AU121)-SUM(Y121:AC121)</f>
        <v>0</v>
      </c>
      <c r="AW121" s="510"/>
      <c r="AX121" s="515">
        <v>169</v>
      </c>
      <c r="AY121" s="516"/>
      <c r="AZ121" s="516">
        <v>37.39</v>
      </c>
      <c r="BA121" s="516"/>
      <c r="BB121" s="516"/>
      <c r="BC121" s="516"/>
      <c r="BD121" s="516"/>
      <c r="BE121" s="517">
        <f t="shared" si="290"/>
        <v>0.37999999999999989</v>
      </c>
      <c r="BF121" s="512"/>
      <c r="BG121" s="512">
        <f t="shared" ref="BG121:BG127" si="310">ROUND((T121*$BF$2)+$BE121-AZ121,2)</f>
        <v>-37.01</v>
      </c>
      <c r="BH121" s="512"/>
      <c r="BI121" s="512"/>
      <c r="BJ121" s="512"/>
      <c r="BK121" s="468"/>
      <c r="BL121" s="468"/>
      <c r="BM121" s="513">
        <f t="shared" si="282"/>
        <v>0</v>
      </c>
      <c r="BN121" s="513">
        <f t="shared" si="283"/>
        <v>0</v>
      </c>
      <c r="BO121" s="513">
        <f t="shared" si="291"/>
        <v>0</v>
      </c>
      <c r="BP121" s="513">
        <f t="shared" si="292"/>
        <v>0</v>
      </c>
      <c r="BQ121" s="513">
        <f t="shared" si="293"/>
        <v>0</v>
      </c>
      <c r="BR121" s="468"/>
      <c r="BS121" s="512">
        <f t="shared" si="294"/>
        <v>0</v>
      </c>
      <c r="BT121" s="52">
        <f t="shared" si="295"/>
        <v>-37.39</v>
      </c>
      <c r="BU121" s="52">
        <f t="shared" si="296"/>
        <v>0</v>
      </c>
      <c r="BV121" s="52">
        <f t="shared" si="297"/>
        <v>0</v>
      </c>
      <c r="BW121" s="52">
        <f t="shared" si="298"/>
        <v>0</v>
      </c>
    </row>
    <row r="122" spans="1:180">
      <c r="A122" s="546"/>
      <c r="B122" s="714">
        <v>2</v>
      </c>
      <c r="C122" s="715" t="s">
        <v>100</v>
      </c>
      <c r="D122" s="500" t="s">
        <v>698</v>
      </c>
      <c r="E122" s="716">
        <v>0</v>
      </c>
      <c r="F122" s="717"/>
      <c r="G122" s="717" t="str">
        <f t="shared" si="259"/>
        <v>046145L</v>
      </c>
      <c r="H122" s="247"/>
      <c r="I122" s="380" t="s">
        <v>605</v>
      </c>
      <c r="J122" s="509" t="s">
        <v>673</v>
      </c>
      <c r="K122" s="443" t="s">
        <v>109</v>
      </c>
      <c r="L122" s="445" t="s">
        <v>493</v>
      </c>
      <c r="M122" s="444">
        <f t="shared" ref="M122:Q131" si="311">SUMIF($G:$G,TEXT(M$3,"000")&amp;TEXT($L122,"000"),$E:$E)</f>
        <v>0</v>
      </c>
      <c r="N122" s="444">
        <f t="shared" si="311"/>
        <v>5366</v>
      </c>
      <c r="O122" s="444">
        <f t="shared" si="311"/>
        <v>0</v>
      </c>
      <c r="P122" s="444">
        <f t="shared" si="311"/>
        <v>0</v>
      </c>
      <c r="Q122" s="444">
        <f t="shared" si="311"/>
        <v>0</v>
      </c>
      <c r="R122" s="444">
        <f t="shared" si="299"/>
        <v>0</v>
      </c>
      <c r="S122" s="470">
        <v>0</v>
      </c>
      <c r="T122" s="719">
        <v>16.28</v>
      </c>
      <c r="U122" s="720">
        <v>0</v>
      </c>
      <c r="V122" s="720">
        <v>0</v>
      </c>
      <c r="W122" s="720">
        <v>0</v>
      </c>
      <c r="X122" s="486"/>
      <c r="Y122" s="68">
        <f t="shared" si="303"/>
        <v>0</v>
      </c>
      <c r="Z122" s="68">
        <f t="shared" si="300"/>
        <v>87358.48000000001</v>
      </c>
      <c r="AA122" s="68">
        <f t="shared" ref="AA122:AC123" si="312">IF(AND(O122&lt;&gt;0,U122=0),#VALUE!,O122*U122)</f>
        <v>0</v>
      </c>
      <c r="AB122" s="68">
        <f t="shared" si="312"/>
        <v>0</v>
      </c>
      <c r="AC122" s="68">
        <f t="shared" si="312"/>
        <v>0</v>
      </c>
      <c r="AD122" s="486"/>
      <c r="AE122" s="444">
        <f>SUMIF($G:$G,TEXT(AE$3,"000")&amp;TEXT($L122,"000"),$E:$E)</f>
        <v>0</v>
      </c>
      <c r="AF122" s="444">
        <f>SUMIF($G:$G,TEXT(AF$3,"000")&amp;TEXT($L122,"000"),$E:$E)</f>
        <v>5366</v>
      </c>
      <c r="AG122" s="444">
        <f>SUMIF($G:$G,TEXT(AG$3,"000")&amp;TEXT($L122,"000"),$E:$E)</f>
        <v>0</v>
      </c>
      <c r="AH122" s="444">
        <f>SUMIF($G:$G,TEXT(AH$3,"000")&amp;TEXT($L122,"000"),$E:$E)</f>
        <v>0</v>
      </c>
      <c r="AI122" s="444">
        <f>SUMIF($G:$G,TEXT(AI$3,"000")&amp;TEXT($L122,"000"),$E:$E)</f>
        <v>0</v>
      </c>
      <c r="AJ122" s="486"/>
      <c r="AK122" s="449">
        <f t="shared" si="278"/>
        <v>0</v>
      </c>
      <c r="AL122" s="449">
        <f>AL32</f>
        <v>17.95</v>
      </c>
      <c r="AM122" s="449">
        <f t="shared" si="279"/>
        <v>0</v>
      </c>
      <c r="AN122" s="449">
        <f t="shared" si="280"/>
        <v>0</v>
      </c>
      <c r="AO122" s="449">
        <f t="shared" si="281"/>
        <v>0</v>
      </c>
      <c r="AP122" s="486"/>
      <c r="AQ122" s="68">
        <f t="shared" si="306"/>
        <v>0</v>
      </c>
      <c r="AR122" s="68">
        <f t="shared" si="302"/>
        <v>96319.7</v>
      </c>
      <c r="AS122" s="68">
        <f t="shared" si="307"/>
        <v>0</v>
      </c>
      <c r="AT122" s="68">
        <f t="shared" si="308"/>
        <v>0</v>
      </c>
      <c r="AU122" s="68">
        <f t="shared" si="309"/>
        <v>0</v>
      </c>
      <c r="AV122" s="486"/>
      <c r="AX122" s="454">
        <v>26</v>
      </c>
      <c r="AY122" s="446"/>
      <c r="AZ122" s="446"/>
      <c r="BA122" s="446"/>
      <c r="BB122" s="446"/>
      <c r="BC122" s="446"/>
      <c r="BD122" s="446"/>
      <c r="BE122" s="452">
        <f t="shared" si="290"/>
        <v>0.06</v>
      </c>
      <c r="BF122" s="442"/>
      <c r="BG122" s="442">
        <f t="shared" si="310"/>
        <v>16.59</v>
      </c>
      <c r="BH122" s="442"/>
      <c r="BI122" s="442"/>
      <c r="BJ122" s="442"/>
      <c r="BK122" s="486"/>
      <c r="BL122" s="486"/>
      <c r="BM122" s="450">
        <f t="shared" si="282"/>
        <v>0</v>
      </c>
      <c r="BN122" s="450">
        <f t="shared" si="283"/>
        <v>18.221044999999997</v>
      </c>
      <c r="BO122" s="450">
        <f t="shared" si="291"/>
        <v>0</v>
      </c>
      <c r="BP122" s="450">
        <f t="shared" si="292"/>
        <v>0</v>
      </c>
      <c r="BQ122" s="450">
        <f t="shared" si="293"/>
        <v>0</v>
      </c>
      <c r="BR122" s="486"/>
      <c r="BS122" s="442">
        <f t="shared" si="294"/>
        <v>0</v>
      </c>
      <c r="BT122" s="442">
        <f t="shared" si="295"/>
        <v>18.221044999999997</v>
      </c>
      <c r="BU122" s="442">
        <f t="shared" si="296"/>
        <v>0</v>
      </c>
      <c r="BV122" s="442">
        <f t="shared" si="297"/>
        <v>0</v>
      </c>
      <c r="BW122" s="442">
        <f t="shared" si="298"/>
        <v>0</v>
      </c>
      <c r="BX122" s="468"/>
      <c r="BY122" s="468"/>
      <c r="BZ122" s="468"/>
      <c r="CA122" s="468"/>
      <c r="CB122" s="468"/>
      <c r="CC122" s="468"/>
      <c r="CD122" s="468"/>
      <c r="CE122" s="468"/>
      <c r="CH122" s="485"/>
      <c r="CI122" s="485"/>
      <c r="CJ122" s="485"/>
      <c r="CP122" s="509"/>
      <c r="CQ122" s="509"/>
      <c r="CR122" s="509"/>
      <c r="CS122" s="509"/>
      <c r="CT122" s="509"/>
    </row>
    <row r="123" spans="1:180">
      <c r="A123" s="546"/>
      <c r="B123" s="714">
        <v>2</v>
      </c>
      <c r="C123" s="715" t="s">
        <v>100</v>
      </c>
      <c r="D123" s="500" t="s">
        <v>699</v>
      </c>
      <c r="E123" s="716">
        <v>0</v>
      </c>
      <c r="F123" s="717"/>
      <c r="G123" s="717" t="str">
        <f t="shared" si="259"/>
        <v>046155L</v>
      </c>
      <c r="H123" s="247"/>
      <c r="I123" s="485" t="s">
        <v>605</v>
      </c>
      <c r="J123" s="509" t="s">
        <v>673</v>
      </c>
      <c r="K123" s="443" t="s">
        <v>109</v>
      </c>
      <c r="L123" s="445" t="s">
        <v>596</v>
      </c>
      <c r="M123" s="444">
        <f t="shared" si="311"/>
        <v>0</v>
      </c>
      <c r="N123" s="444">
        <f t="shared" si="311"/>
        <v>1826</v>
      </c>
      <c r="O123" s="444">
        <f t="shared" si="311"/>
        <v>0</v>
      </c>
      <c r="P123" s="444">
        <f t="shared" si="311"/>
        <v>0</v>
      </c>
      <c r="Q123" s="444">
        <f t="shared" si="311"/>
        <v>0</v>
      </c>
      <c r="R123" s="444">
        <f t="shared" si="299"/>
        <v>0</v>
      </c>
      <c r="S123" s="470">
        <v>0</v>
      </c>
      <c r="T123" s="719"/>
      <c r="U123" s="720">
        <v>0</v>
      </c>
      <c r="V123" s="720">
        <v>0</v>
      </c>
      <c r="W123" s="720">
        <v>0</v>
      </c>
      <c r="X123" s="485"/>
      <c r="Y123" s="68">
        <f t="shared" si="303"/>
        <v>0</v>
      </c>
      <c r="Z123" s="68" t="e">
        <f t="shared" si="300"/>
        <v>#VALUE!</v>
      </c>
      <c r="AA123" s="68">
        <f t="shared" si="312"/>
        <v>0</v>
      </c>
      <c r="AB123" s="68">
        <f t="shared" si="312"/>
        <v>0</v>
      </c>
      <c r="AC123" s="68">
        <f t="shared" si="312"/>
        <v>0</v>
      </c>
      <c r="AD123" s="485"/>
      <c r="AE123" s="444">
        <f>M123</f>
        <v>0</v>
      </c>
      <c r="AF123" s="444">
        <f>N123</f>
        <v>1826</v>
      </c>
      <c r="AG123" s="444">
        <f>O123</f>
        <v>0</v>
      </c>
      <c r="AH123" s="444">
        <f>P123</f>
        <v>0</v>
      </c>
      <c r="AI123" s="444">
        <f>Q123</f>
        <v>0</v>
      </c>
      <c r="AJ123" s="485"/>
      <c r="AK123" s="449">
        <f t="shared" si="278"/>
        <v>0</v>
      </c>
      <c r="AL123" s="449"/>
      <c r="AM123" s="449">
        <f t="shared" si="279"/>
        <v>0</v>
      </c>
      <c r="AN123" s="449">
        <f t="shared" si="280"/>
        <v>0</v>
      </c>
      <c r="AO123" s="449">
        <f t="shared" si="281"/>
        <v>0</v>
      </c>
      <c r="AP123" s="485"/>
      <c r="AQ123" s="68">
        <f t="shared" si="306"/>
        <v>0</v>
      </c>
      <c r="AR123" s="68" t="e">
        <f t="shared" si="302"/>
        <v>#VALUE!</v>
      </c>
      <c r="AS123" s="68">
        <f t="shared" si="307"/>
        <v>0</v>
      </c>
      <c r="AT123" s="68">
        <f t="shared" si="308"/>
        <v>0</v>
      </c>
      <c r="AU123" s="68">
        <f t="shared" si="309"/>
        <v>0</v>
      </c>
      <c r="AV123" s="68" t="e">
        <f>SUM(AQ123:AU123)-SUM(Y123:AC123)</f>
        <v>#VALUE!</v>
      </c>
      <c r="AW123" s="68"/>
      <c r="AX123" s="454">
        <v>26</v>
      </c>
      <c r="AY123" s="446"/>
      <c r="AZ123" s="446"/>
      <c r="BA123" s="446"/>
      <c r="BB123" s="446"/>
      <c r="BC123" s="446"/>
      <c r="BD123" s="446"/>
      <c r="BE123" s="452">
        <f t="shared" si="290"/>
        <v>0.06</v>
      </c>
      <c r="BF123" s="442"/>
      <c r="BG123" s="442">
        <f t="shared" si="310"/>
        <v>0.06</v>
      </c>
      <c r="BH123" s="442"/>
      <c r="BI123" s="442"/>
      <c r="BJ123" s="442"/>
      <c r="BK123" s="485"/>
      <c r="BL123" s="485"/>
      <c r="BM123" s="450">
        <f t="shared" si="282"/>
        <v>0</v>
      </c>
      <c r="BN123" s="450">
        <f t="shared" si="283"/>
        <v>0</v>
      </c>
      <c r="BO123" s="450">
        <f t="shared" si="291"/>
        <v>0</v>
      </c>
      <c r="BP123" s="450">
        <f t="shared" si="292"/>
        <v>0</v>
      </c>
      <c r="BQ123" s="450">
        <f t="shared" si="293"/>
        <v>0</v>
      </c>
      <c r="BR123" s="485"/>
      <c r="BS123" s="442">
        <f t="shared" si="294"/>
        <v>0</v>
      </c>
      <c r="BT123" s="442">
        <f t="shared" si="295"/>
        <v>0</v>
      </c>
      <c r="BU123" s="442">
        <f t="shared" si="296"/>
        <v>0</v>
      </c>
      <c r="BV123" s="442">
        <f t="shared" si="297"/>
        <v>0</v>
      </c>
      <c r="BW123" s="442">
        <f t="shared" si="298"/>
        <v>0</v>
      </c>
      <c r="BX123" s="468"/>
      <c r="BY123" s="468"/>
      <c r="BZ123" s="468"/>
      <c r="CA123" s="468"/>
      <c r="CB123" s="468"/>
      <c r="CC123" s="468"/>
      <c r="CD123" s="468"/>
      <c r="CE123" s="468"/>
      <c r="CF123" s="468"/>
      <c r="CG123" s="468"/>
      <c r="CH123" s="468"/>
      <c r="CI123" s="468"/>
      <c r="CJ123" s="468"/>
      <c r="CK123" s="468"/>
      <c r="CL123" s="468"/>
      <c r="CV123" s="509"/>
      <c r="CW123" s="509"/>
      <c r="CX123" s="509"/>
      <c r="CY123" s="509"/>
      <c r="CZ123" s="509"/>
      <c r="DA123" s="509"/>
      <c r="DB123" s="509"/>
    </row>
    <row r="124" spans="1:180">
      <c r="A124" s="546"/>
      <c r="B124" s="714">
        <v>2</v>
      </c>
      <c r="C124" s="715" t="s">
        <v>100</v>
      </c>
      <c r="D124" s="500" t="s">
        <v>700</v>
      </c>
      <c r="E124" s="716">
        <v>2</v>
      </c>
      <c r="F124" s="717"/>
      <c r="G124" s="717" t="str">
        <f t="shared" si="259"/>
        <v>046165L</v>
      </c>
      <c r="H124" s="247"/>
      <c r="I124" s="380" t="s">
        <v>605</v>
      </c>
      <c r="J124" s="509" t="s">
        <v>672</v>
      </c>
      <c r="K124" s="443" t="s">
        <v>516</v>
      </c>
      <c r="L124" s="445" t="s">
        <v>507</v>
      </c>
      <c r="M124" s="444">
        <f t="shared" si="311"/>
        <v>0</v>
      </c>
      <c r="N124" s="444">
        <f t="shared" si="311"/>
        <v>1362</v>
      </c>
      <c r="O124" s="444">
        <f t="shared" si="311"/>
        <v>0</v>
      </c>
      <c r="P124" s="444">
        <f t="shared" si="311"/>
        <v>0</v>
      </c>
      <c r="Q124" s="444">
        <f t="shared" si="311"/>
        <v>0</v>
      </c>
      <c r="R124" s="444">
        <f t="shared" si="299"/>
        <v>0</v>
      </c>
      <c r="S124" s="470">
        <v>0</v>
      </c>
      <c r="T124" s="719">
        <v>22.63</v>
      </c>
      <c r="U124" s="720">
        <v>0</v>
      </c>
      <c r="V124" s="720">
        <v>0</v>
      </c>
      <c r="W124" s="720">
        <v>0</v>
      </c>
      <c r="X124" s="441"/>
      <c r="Y124" s="68">
        <f t="shared" ref="Y124:AC125" si="313">IF(AND(M124&lt;&gt;0,S124=0),#VALUE!,M124*S124)</f>
        <v>0</v>
      </c>
      <c r="Z124" s="68">
        <f t="shared" si="313"/>
        <v>30822.059999999998</v>
      </c>
      <c r="AA124" s="68">
        <f t="shared" si="313"/>
        <v>0</v>
      </c>
      <c r="AB124" s="68">
        <f t="shared" si="313"/>
        <v>0</v>
      </c>
      <c r="AC124" s="68">
        <f t="shared" si="313"/>
        <v>0</v>
      </c>
      <c r="AD124" s="441"/>
      <c r="AE124" s="444">
        <f>SUMIF($G:$G,TEXT(AE$3,"000")&amp;TEXT($L124,"000"),$E:$E)</f>
        <v>0</v>
      </c>
      <c r="AF124" s="444">
        <f>SUMIF($G:$G,TEXT(AF$3,"000")&amp;TEXT($L124,"000"),$E:$E)</f>
        <v>1362</v>
      </c>
      <c r="AG124" s="444">
        <f>SUMIF($G:$G,TEXT(AG$3,"000")&amp;TEXT($L124,"000"),$E:$E)</f>
        <v>0</v>
      </c>
      <c r="AH124" s="444">
        <f>SUMIF($G:$G,TEXT(AH$3,"000")&amp;TEXT($L124,"000"),$E:$E)</f>
        <v>0</v>
      </c>
      <c r="AI124" s="444">
        <f>SUMIF($G:$G,TEXT(AI$3,"000")&amp;TEXT($L124,"000"),$E:$E)</f>
        <v>0</v>
      </c>
      <c r="AJ124" s="441"/>
      <c r="AK124" s="449">
        <f t="shared" si="278"/>
        <v>0</v>
      </c>
      <c r="AL124" s="449">
        <f>AL59</f>
        <v>24.95</v>
      </c>
      <c r="AM124" s="449">
        <f t="shared" si="279"/>
        <v>0</v>
      </c>
      <c r="AN124" s="449">
        <f t="shared" si="280"/>
        <v>0</v>
      </c>
      <c r="AO124" s="449">
        <f t="shared" si="281"/>
        <v>0</v>
      </c>
      <c r="AP124" s="441"/>
      <c r="AQ124" s="68">
        <f t="shared" si="306"/>
        <v>0</v>
      </c>
      <c r="AR124" s="68">
        <f t="shared" si="302"/>
        <v>33981.9</v>
      </c>
      <c r="AS124" s="68">
        <f t="shared" si="307"/>
        <v>0</v>
      </c>
      <c r="AT124" s="68">
        <f t="shared" si="308"/>
        <v>0</v>
      </c>
      <c r="AU124" s="68">
        <f t="shared" si="309"/>
        <v>0</v>
      </c>
      <c r="AV124" s="441"/>
      <c r="AX124" s="454">
        <v>39</v>
      </c>
      <c r="AY124" s="446"/>
      <c r="AZ124" s="446"/>
      <c r="BA124" s="446"/>
      <c r="BB124" s="446"/>
      <c r="BC124" s="446"/>
      <c r="BD124" s="446"/>
      <c r="BE124" s="452">
        <f t="shared" si="290"/>
        <v>8.0000000000000016E-2</v>
      </c>
      <c r="BF124" s="442"/>
      <c r="BG124" s="442">
        <f t="shared" si="310"/>
        <v>23.05</v>
      </c>
      <c r="BH124" s="442"/>
      <c r="BI124" s="442"/>
      <c r="BJ124" s="442"/>
      <c r="BK124" s="441"/>
      <c r="BL124" s="441"/>
      <c r="BM124" s="450">
        <f t="shared" si="282"/>
        <v>0</v>
      </c>
      <c r="BN124" s="450">
        <f t="shared" si="283"/>
        <v>25.326744999999995</v>
      </c>
      <c r="BO124" s="450">
        <f t="shared" ref="BO124:BQ127" si="314">AM124*$BM$1</f>
        <v>0</v>
      </c>
      <c r="BP124" s="450">
        <f t="shared" si="314"/>
        <v>0</v>
      </c>
      <c r="BQ124" s="450">
        <f t="shared" si="314"/>
        <v>0</v>
      </c>
      <c r="BR124" s="441"/>
      <c r="BS124" s="442">
        <f t="shared" ref="BS124:BW125" si="315">BM124-AY124</f>
        <v>0</v>
      </c>
      <c r="BT124" s="442">
        <f t="shared" si="315"/>
        <v>25.326744999999995</v>
      </c>
      <c r="BU124" s="442">
        <f t="shared" si="315"/>
        <v>0</v>
      </c>
      <c r="BV124" s="442">
        <f t="shared" si="315"/>
        <v>0</v>
      </c>
      <c r="BW124" s="442">
        <f t="shared" si="315"/>
        <v>0</v>
      </c>
      <c r="CU124" s="509"/>
    </row>
    <row r="125" spans="1:180">
      <c r="A125" s="546"/>
      <c r="B125" s="714">
        <v>2</v>
      </c>
      <c r="C125" s="715" t="s">
        <v>100</v>
      </c>
      <c r="D125" s="500" t="s">
        <v>701</v>
      </c>
      <c r="E125" s="716">
        <v>0</v>
      </c>
      <c r="F125" s="717"/>
      <c r="G125" s="717" t="str">
        <f t="shared" si="259"/>
        <v>046175L</v>
      </c>
      <c r="H125" s="247"/>
      <c r="I125" s="485" t="s">
        <v>605</v>
      </c>
      <c r="J125" s="509" t="s">
        <v>672</v>
      </c>
      <c r="K125" s="443" t="s">
        <v>516</v>
      </c>
      <c r="L125" s="445" t="s">
        <v>602</v>
      </c>
      <c r="M125" s="444">
        <f t="shared" si="311"/>
        <v>0</v>
      </c>
      <c r="N125" s="444">
        <f t="shared" si="311"/>
        <v>469</v>
      </c>
      <c r="O125" s="444">
        <f t="shared" si="311"/>
        <v>0</v>
      </c>
      <c r="P125" s="444">
        <f t="shared" si="311"/>
        <v>0</v>
      </c>
      <c r="Q125" s="444">
        <f t="shared" si="311"/>
        <v>0</v>
      </c>
      <c r="R125" s="444">
        <f t="shared" si="299"/>
        <v>0</v>
      </c>
      <c r="S125" s="470">
        <v>0</v>
      </c>
      <c r="T125" s="719"/>
      <c r="U125" s="720">
        <v>0</v>
      </c>
      <c r="V125" s="720">
        <v>0</v>
      </c>
      <c r="W125" s="720">
        <v>0</v>
      </c>
      <c r="X125" s="485"/>
      <c r="Y125" s="68">
        <f t="shared" si="313"/>
        <v>0</v>
      </c>
      <c r="Z125" s="68" t="e">
        <f t="shared" si="313"/>
        <v>#VALUE!</v>
      </c>
      <c r="AA125" s="68">
        <f t="shared" si="313"/>
        <v>0</v>
      </c>
      <c r="AB125" s="68">
        <f t="shared" si="313"/>
        <v>0</v>
      </c>
      <c r="AC125" s="68">
        <f t="shared" si="313"/>
        <v>0</v>
      </c>
      <c r="AD125" s="485"/>
      <c r="AE125" s="444">
        <f t="shared" ref="AE125:AI127" si="316">M125</f>
        <v>0</v>
      </c>
      <c r="AF125" s="444">
        <f t="shared" si="316"/>
        <v>469</v>
      </c>
      <c r="AG125" s="444">
        <f t="shared" si="316"/>
        <v>0</v>
      </c>
      <c r="AH125" s="444">
        <f t="shared" si="316"/>
        <v>0</v>
      </c>
      <c r="AI125" s="444">
        <f t="shared" si="316"/>
        <v>0</v>
      </c>
      <c r="AJ125" s="485"/>
      <c r="AK125" s="449">
        <f t="shared" si="278"/>
        <v>0</v>
      </c>
      <c r="AL125" s="449"/>
      <c r="AM125" s="449">
        <f t="shared" si="279"/>
        <v>0</v>
      </c>
      <c r="AN125" s="449">
        <f t="shared" si="280"/>
        <v>0</v>
      </c>
      <c r="AO125" s="449">
        <f t="shared" si="281"/>
        <v>0</v>
      </c>
      <c r="AP125" s="485"/>
      <c r="AQ125" s="68">
        <f t="shared" si="306"/>
        <v>0</v>
      </c>
      <c r="AR125" s="68" t="e">
        <f t="shared" si="302"/>
        <v>#VALUE!</v>
      </c>
      <c r="AS125" s="68">
        <f t="shared" si="307"/>
        <v>0</v>
      </c>
      <c r="AT125" s="68">
        <f t="shared" si="308"/>
        <v>0</v>
      </c>
      <c r="AU125" s="68">
        <f t="shared" si="309"/>
        <v>0</v>
      </c>
      <c r="AV125" s="68" t="e">
        <f>SUM(AQ125:AU125)-SUM(Y125:AC125)</f>
        <v>#VALUE!</v>
      </c>
      <c r="AW125" s="68"/>
      <c r="AX125" s="454">
        <v>39</v>
      </c>
      <c r="AY125" s="446"/>
      <c r="AZ125" s="446"/>
      <c r="BA125" s="446"/>
      <c r="BB125" s="446"/>
      <c r="BC125" s="446"/>
      <c r="BD125" s="446"/>
      <c r="BE125" s="452">
        <f t="shared" si="290"/>
        <v>8.0000000000000016E-2</v>
      </c>
      <c r="BF125" s="442"/>
      <c r="BG125" s="442">
        <f t="shared" si="310"/>
        <v>0.08</v>
      </c>
      <c r="BH125" s="442"/>
      <c r="BI125" s="442"/>
      <c r="BJ125" s="442"/>
      <c r="BK125" s="485"/>
      <c r="BL125" s="485"/>
      <c r="BM125" s="450">
        <f t="shared" si="282"/>
        <v>0</v>
      </c>
      <c r="BN125" s="450">
        <f t="shared" si="283"/>
        <v>0</v>
      </c>
      <c r="BO125" s="450">
        <f t="shared" si="314"/>
        <v>0</v>
      </c>
      <c r="BP125" s="450">
        <f t="shared" si="314"/>
        <v>0</v>
      </c>
      <c r="BQ125" s="450">
        <f t="shared" si="314"/>
        <v>0</v>
      </c>
      <c r="BR125" s="485"/>
      <c r="BS125" s="442">
        <f t="shared" si="315"/>
        <v>0</v>
      </c>
      <c r="BT125" s="442">
        <f t="shared" si="315"/>
        <v>0</v>
      </c>
      <c r="BU125" s="442">
        <f t="shared" si="315"/>
        <v>0</v>
      </c>
      <c r="BV125" s="442">
        <f t="shared" si="315"/>
        <v>0</v>
      </c>
      <c r="BW125" s="442">
        <f t="shared" si="315"/>
        <v>0</v>
      </c>
      <c r="BX125" s="486"/>
      <c r="BY125" s="486"/>
      <c r="BZ125" s="486"/>
      <c r="CA125" s="486"/>
      <c r="CB125" s="486"/>
      <c r="CC125" s="486"/>
      <c r="CD125" s="486"/>
      <c r="CE125" s="486"/>
      <c r="CF125" s="486"/>
      <c r="CG125" s="486"/>
      <c r="CH125" s="486"/>
      <c r="CI125" s="486"/>
      <c r="CJ125" s="486"/>
      <c r="CK125" s="486"/>
      <c r="CL125" s="486"/>
      <c r="CM125" s="486"/>
      <c r="CN125" s="486"/>
      <c r="CO125" s="486"/>
      <c r="CP125" s="486"/>
      <c r="CU125" s="509"/>
      <c r="CV125" s="509"/>
      <c r="CW125" s="509"/>
      <c r="CX125" s="509"/>
      <c r="CY125" s="509"/>
      <c r="CZ125" s="509"/>
      <c r="DA125" s="509"/>
      <c r="DB125" s="509"/>
      <c r="DG125" s="509"/>
      <c r="DH125" s="509"/>
      <c r="DI125" s="509"/>
      <c r="DJ125" s="509"/>
      <c r="DK125" s="509"/>
      <c r="DL125" s="509"/>
      <c r="DM125" s="509"/>
      <c r="DN125" s="509"/>
      <c r="DO125" s="509"/>
      <c r="DP125" s="509"/>
      <c r="DQ125" s="509"/>
      <c r="DR125" s="509"/>
      <c r="DS125" s="509"/>
    </row>
    <row r="126" spans="1:180">
      <c r="A126" s="546"/>
      <c r="B126" s="714">
        <v>2</v>
      </c>
      <c r="C126" s="715" t="s">
        <v>100</v>
      </c>
      <c r="D126" s="500" t="s">
        <v>702</v>
      </c>
      <c r="E126" s="716">
        <v>0</v>
      </c>
      <c r="F126" s="717"/>
      <c r="G126" s="717" t="str">
        <f t="shared" si="259"/>
        <v>046185L</v>
      </c>
      <c r="H126" s="247"/>
      <c r="I126" t="s">
        <v>105</v>
      </c>
      <c r="J126" t="s">
        <v>672</v>
      </c>
      <c r="K126" s="57" t="s">
        <v>124</v>
      </c>
      <c r="L126" s="91">
        <v>831</v>
      </c>
      <c r="M126" s="67">
        <f t="shared" si="311"/>
        <v>0</v>
      </c>
      <c r="N126" s="67">
        <f t="shared" si="311"/>
        <v>0</v>
      </c>
      <c r="O126" s="67">
        <f t="shared" si="311"/>
        <v>0</v>
      </c>
      <c r="P126" s="67">
        <f t="shared" si="311"/>
        <v>0</v>
      </c>
      <c r="Q126" s="67">
        <f t="shared" si="311"/>
        <v>0</v>
      </c>
      <c r="R126" s="444">
        <f t="shared" si="299"/>
        <v>1</v>
      </c>
      <c r="S126" s="470">
        <v>0</v>
      </c>
      <c r="T126" s="720"/>
      <c r="U126" s="720">
        <v>25</v>
      </c>
      <c r="V126" s="720">
        <v>0</v>
      </c>
      <c r="W126" s="720">
        <v>0</v>
      </c>
      <c r="Y126" s="68">
        <f t="shared" ref="Y126:AC127" si="317">IF(AND(M126&lt;&gt;0,S126=0),#VALUE!,M126*S126)</f>
        <v>0</v>
      </c>
      <c r="Z126" s="68">
        <f t="shared" si="317"/>
        <v>0</v>
      </c>
      <c r="AA126" s="68">
        <f t="shared" si="317"/>
        <v>0</v>
      </c>
      <c r="AB126" s="68">
        <f t="shared" si="317"/>
        <v>0</v>
      </c>
      <c r="AC126" s="68">
        <f t="shared" si="317"/>
        <v>0</v>
      </c>
      <c r="AE126" s="67">
        <f t="shared" si="316"/>
        <v>0</v>
      </c>
      <c r="AF126" s="67">
        <f t="shared" si="316"/>
        <v>0</v>
      </c>
      <c r="AG126" s="67">
        <f t="shared" si="316"/>
        <v>0</v>
      </c>
      <c r="AH126" s="67">
        <f t="shared" si="316"/>
        <v>0</v>
      </c>
      <c r="AI126" s="67">
        <f t="shared" si="316"/>
        <v>0</v>
      </c>
      <c r="AK126" s="381">
        <f t="shared" si="278"/>
        <v>0</v>
      </c>
      <c r="AL126" s="449"/>
      <c r="AM126" s="449">
        <f t="shared" si="279"/>
        <v>27.73</v>
      </c>
      <c r="AN126" s="449">
        <f t="shared" si="280"/>
        <v>0</v>
      </c>
      <c r="AO126" s="449">
        <f t="shared" si="281"/>
        <v>0</v>
      </c>
      <c r="AQ126" s="68">
        <f t="shared" si="306"/>
        <v>0</v>
      </c>
      <c r="AR126" s="68">
        <f t="shared" si="302"/>
        <v>0</v>
      </c>
      <c r="AS126" s="68">
        <f t="shared" si="307"/>
        <v>0</v>
      </c>
      <c r="AT126" s="68">
        <f t="shared" si="308"/>
        <v>0</v>
      </c>
      <c r="AU126" s="68">
        <f t="shared" si="309"/>
        <v>0</v>
      </c>
      <c r="AV126" s="68">
        <f>SUM(AQ126:AU126)-SUM(Y126:AC126)</f>
        <v>0</v>
      </c>
      <c r="AW126" s="68"/>
      <c r="AX126" s="392">
        <v>169</v>
      </c>
      <c r="AY126" s="446"/>
      <c r="AZ126" s="446"/>
      <c r="BA126" s="446">
        <v>22.17</v>
      </c>
      <c r="BB126" s="446"/>
      <c r="BC126" s="446"/>
      <c r="BD126" s="131"/>
      <c r="BE126" s="452">
        <f t="shared" si="290"/>
        <v>0.37999999999999989</v>
      </c>
      <c r="BF126" s="52"/>
      <c r="BG126" s="52">
        <f t="shared" si="310"/>
        <v>0.38</v>
      </c>
      <c r="BH126" s="52">
        <f>ROUND((U126*$BF$2)+$BE126-BA126,2)</f>
        <v>3.59</v>
      </c>
      <c r="BI126" s="52"/>
      <c r="BJ126" s="52"/>
      <c r="BM126" s="249">
        <f t="shared" si="282"/>
        <v>0</v>
      </c>
      <c r="BN126" s="249">
        <f t="shared" si="283"/>
        <v>0</v>
      </c>
      <c r="BO126" s="249">
        <f t="shared" si="314"/>
        <v>28.148722999999997</v>
      </c>
      <c r="BP126" s="249">
        <f t="shared" si="314"/>
        <v>0</v>
      </c>
      <c r="BQ126" s="249">
        <f t="shared" si="314"/>
        <v>0</v>
      </c>
      <c r="BS126" s="52">
        <f t="shared" ref="BS126:BW127" si="318">BM126-AY126</f>
        <v>0</v>
      </c>
      <c r="BT126" s="52">
        <f t="shared" si="318"/>
        <v>0</v>
      </c>
      <c r="BU126" s="52">
        <f t="shared" si="318"/>
        <v>5.9787229999999951</v>
      </c>
      <c r="BV126" s="52">
        <f t="shared" si="318"/>
        <v>0</v>
      </c>
      <c r="BW126" s="52">
        <f t="shared" si="318"/>
        <v>0</v>
      </c>
      <c r="BX126" s="485"/>
      <c r="BY126" s="485"/>
      <c r="BZ126" s="485"/>
      <c r="CA126" s="485"/>
      <c r="CB126" s="485"/>
      <c r="CC126" s="485"/>
      <c r="CD126" s="485"/>
      <c r="CE126" s="485"/>
      <c r="CF126" s="485"/>
      <c r="CG126" s="485"/>
      <c r="CH126" s="485"/>
      <c r="CI126" s="485"/>
      <c r="CJ126" s="485"/>
      <c r="CK126" s="485"/>
      <c r="CU126" s="509"/>
      <c r="DC126" s="509"/>
      <c r="DD126" s="509"/>
      <c r="DE126" s="509"/>
      <c r="DF126" s="509"/>
      <c r="DG126" s="509"/>
      <c r="DH126" s="509"/>
      <c r="DI126" s="509"/>
      <c r="DJ126" s="509"/>
      <c r="DK126" s="509"/>
      <c r="DL126" s="509"/>
      <c r="DM126" s="509"/>
      <c r="DN126" s="509"/>
      <c r="DO126" s="509"/>
      <c r="DP126" s="509"/>
      <c r="DQ126" s="509"/>
      <c r="DR126" s="509"/>
      <c r="DS126" s="509"/>
    </row>
    <row r="127" spans="1:180">
      <c r="A127" s="546"/>
      <c r="B127" s="714">
        <v>2</v>
      </c>
      <c r="C127" s="715" t="s">
        <v>100</v>
      </c>
      <c r="D127" s="500" t="s">
        <v>703</v>
      </c>
      <c r="E127" s="716">
        <v>0</v>
      </c>
      <c r="F127" s="717"/>
      <c r="G127" s="717" t="str">
        <f t="shared" si="259"/>
        <v>046195L</v>
      </c>
      <c r="H127" s="247"/>
      <c r="I127" s="485" t="s">
        <v>605</v>
      </c>
      <c r="J127" s="509" t="s">
        <v>672</v>
      </c>
      <c r="K127" s="443" t="s">
        <v>534</v>
      </c>
      <c r="L127" s="445" t="s">
        <v>611</v>
      </c>
      <c r="M127" s="444">
        <f t="shared" si="311"/>
        <v>0</v>
      </c>
      <c r="N127" s="444">
        <f t="shared" si="311"/>
        <v>40</v>
      </c>
      <c r="O127" s="444">
        <f t="shared" si="311"/>
        <v>0</v>
      </c>
      <c r="P127" s="444">
        <f t="shared" si="311"/>
        <v>0</v>
      </c>
      <c r="Q127" s="444">
        <f t="shared" si="311"/>
        <v>0</v>
      </c>
      <c r="R127" s="444">
        <f t="shared" si="299"/>
        <v>0</v>
      </c>
      <c r="S127" s="470">
        <v>0</v>
      </c>
      <c r="T127" s="719"/>
      <c r="U127" s="720">
        <v>0</v>
      </c>
      <c r="V127" s="720">
        <v>0</v>
      </c>
      <c r="W127" s="720">
        <v>0</v>
      </c>
      <c r="X127" s="485"/>
      <c r="Y127" s="68">
        <f t="shared" si="317"/>
        <v>0</v>
      </c>
      <c r="Z127" s="68" t="e">
        <f t="shared" si="317"/>
        <v>#VALUE!</v>
      </c>
      <c r="AA127" s="68">
        <f t="shared" si="317"/>
        <v>0</v>
      </c>
      <c r="AB127" s="68">
        <f t="shared" si="317"/>
        <v>0</v>
      </c>
      <c r="AC127" s="68">
        <f t="shared" si="317"/>
        <v>0</v>
      </c>
      <c r="AD127" s="485"/>
      <c r="AE127" s="444">
        <f t="shared" si="316"/>
        <v>0</v>
      </c>
      <c r="AF127" s="444">
        <f t="shared" si="316"/>
        <v>40</v>
      </c>
      <c r="AG127" s="444">
        <f t="shared" si="316"/>
        <v>0</v>
      </c>
      <c r="AH127" s="444">
        <f t="shared" si="316"/>
        <v>0</v>
      </c>
      <c r="AI127" s="444">
        <f t="shared" si="316"/>
        <v>0</v>
      </c>
      <c r="AJ127" s="485"/>
      <c r="AK127" s="449">
        <f t="shared" si="278"/>
        <v>0</v>
      </c>
      <c r="AL127" s="449"/>
      <c r="AM127" s="449">
        <f t="shared" si="279"/>
        <v>0</v>
      </c>
      <c r="AN127" s="449">
        <f t="shared" si="280"/>
        <v>0</v>
      </c>
      <c r="AO127" s="449">
        <f t="shared" si="281"/>
        <v>0</v>
      </c>
      <c r="AP127" s="485"/>
      <c r="AQ127" s="68">
        <f t="shared" si="306"/>
        <v>0</v>
      </c>
      <c r="AR127" s="68" t="e">
        <f t="shared" si="302"/>
        <v>#VALUE!</v>
      </c>
      <c r="AS127" s="68">
        <f t="shared" si="307"/>
        <v>0</v>
      </c>
      <c r="AT127" s="68">
        <f t="shared" si="308"/>
        <v>0</v>
      </c>
      <c r="AU127" s="68">
        <f t="shared" si="309"/>
        <v>0</v>
      </c>
      <c r="AV127" s="68" t="e">
        <f>SUM(AQ127:AU127)-SUM(Y127:AC127)</f>
        <v>#VALUE!</v>
      </c>
      <c r="AW127" s="68"/>
      <c r="AX127" s="454">
        <v>83</v>
      </c>
      <c r="AY127" s="446"/>
      <c r="AZ127" s="446"/>
      <c r="BA127" s="446"/>
      <c r="BB127" s="446"/>
      <c r="BC127" s="446"/>
      <c r="BD127" s="446"/>
      <c r="BE127" s="452">
        <f t="shared" si="290"/>
        <v>0.18999999999999995</v>
      </c>
      <c r="BF127" s="442"/>
      <c r="BG127" s="442">
        <f t="shared" si="310"/>
        <v>0.19</v>
      </c>
      <c r="BH127" s="442"/>
      <c r="BI127" s="442"/>
      <c r="BJ127" s="442"/>
      <c r="BK127" s="485"/>
      <c r="BL127" s="485"/>
      <c r="BM127" s="450">
        <f t="shared" si="282"/>
        <v>0</v>
      </c>
      <c r="BN127" s="450">
        <f t="shared" si="283"/>
        <v>0</v>
      </c>
      <c r="BO127" s="450">
        <f t="shared" si="314"/>
        <v>0</v>
      </c>
      <c r="BP127" s="450">
        <f t="shared" si="314"/>
        <v>0</v>
      </c>
      <c r="BQ127" s="450">
        <f t="shared" si="314"/>
        <v>0</v>
      </c>
      <c r="BR127" s="485"/>
      <c r="BS127" s="442">
        <f t="shared" si="318"/>
        <v>0</v>
      </c>
      <c r="BT127" s="442">
        <f t="shared" si="318"/>
        <v>0</v>
      </c>
      <c r="BU127" s="442">
        <f t="shared" si="318"/>
        <v>0</v>
      </c>
      <c r="BV127" s="442">
        <f t="shared" si="318"/>
        <v>0</v>
      </c>
      <c r="BW127" s="442">
        <f t="shared" si="318"/>
        <v>0</v>
      </c>
      <c r="BX127" s="441"/>
      <c r="BY127" s="441"/>
      <c r="BZ127" s="441"/>
      <c r="CA127" s="441"/>
      <c r="CB127" s="441"/>
      <c r="CG127" s="455"/>
      <c r="CH127" s="455"/>
      <c r="DC127" s="509"/>
      <c r="DD127" s="509"/>
      <c r="DE127" s="509"/>
      <c r="DF127" s="509"/>
      <c r="DG127" s="509"/>
      <c r="DH127" s="509"/>
      <c r="DI127" s="509"/>
      <c r="DJ127" s="509"/>
      <c r="DK127" s="509"/>
      <c r="DL127" s="509"/>
      <c r="DM127" s="509"/>
      <c r="DN127" s="509"/>
      <c r="DO127" s="509"/>
      <c r="DP127" s="509"/>
      <c r="DQ127" s="509"/>
      <c r="DR127" s="509"/>
      <c r="DS127" s="509"/>
    </row>
    <row r="128" spans="1:180">
      <c r="A128" s="546"/>
      <c r="B128" s="714">
        <v>2</v>
      </c>
      <c r="C128" s="715" t="s">
        <v>100</v>
      </c>
      <c r="D128" s="500" t="s">
        <v>704</v>
      </c>
      <c r="E128" s="716">
        <v>19</v>
      </c>
      <c r="F128" s="717"/>
      <c r="G128" s="717" t="str">
        <f t="shared" si="259"/>
        <v>046212L</v>
      </c>
      <c r="H128" s="247"/>
      <c r="I128" s="380" t="s">
        <v>605</v>
      </c>
      <c r="J128" s="509" t="s">
        <v>672</v>
      </c>
      <c r="K128" s="443" t="s">
        <v>534</v>
      </c>
      <c r="L128" s="445" t="s">
        <v>535</v>
      </c>
      <c r="M128" s="444">
        <f t="shared" si="311"/>
        <v>0</v>
      </c>
      <c r="N128" s="444">
        <f t="shared" si="311"/>
        <v>1</v>
      </c>
      <c r="O128" s="444">
        <f t="shared" si="311"/>
        <v>0</v>
      </c>
      <c r="P128" s="444">
        <f t="shared" si="311"/>
        <v>0</v>
      </c>
      <c r="Q128" s="444">
        <f t="shared" si="311"/>
        <v>0</v>
      </c>
      <c r="R128" s="444">
        <f t="shared" si="299"/>
        <v>0</v>
      </c>
      <c r="S128" s="470">
        <v>0</v>
      </c>
      <c r="T128" s="719">
        <v>0</v>
      </c>
      <c r="U128" s="720">
        <v>0</v>
      </c>
      <c r="V128" s="720">
        <v>0</v>
      </c>
      <c r="W128" s="720">
        <v>0</v>
      </c>
      <c r="X128" s="480"/>
      <c r="Y128" s="480"/>
      <c r="Z128" s="68" t="e">
        <f t="shared" ref="Z128:AC130" si="319">IF(AND(N128&lt;&gt;0,T128=0),#VALUE!,N128*T128)</f>
        <v>#VALUE!</v>
      </c>
      <c r="AA128" s="68">
        <f t="shared" si="319"/>
        <v>0</v>
      </c>
      <c r="AB128" s="68">
        <f t="shared" si="319"/>
        <v>0</v>
      </c>
      <c r="AC128" s="68">
        <f t="shared" si="319"/>
        <v>0</v>
      </c>
      <c r="AD128" s="480"/>
      <c r="AE128" s="444">
        <f>SUMIF($G:$G,TEXT(AE$3,"000")&amp;TEXT($L128,"000"),$E:$E)</f>
        <v>0</v>
      </c>
      <c r="AF128" s="444">
        <f>SUMIF($G:$G,TEXT(AF$3,"000")&amp;TEXT($L128,"000"),$E:$E)</f>
        <v>1</v>
      </c>
      <c r="AG128" s="444">
        <f>SUMIF($G:$G,TEXT(AG$3,"000")&amp;TEXT($L128,"000"),$E:$E)</f>
        <v>0</v>
      </c>
      <c r="AH128" s="444">
        <f>SUMIF($G:$G,TEXT(AH$3,"000")&amp;TEXT($L128,"000"),$E:$E)</f>
        <v>0</v>
      </c>
      <c r="AI128" s="444">
        <f>SUMIF($G:$G,TEXT(AI$3,"000")&amp;TEXT($L128,"000"),$E:$E)</f>
        <v>0</v>
      </c>
      <c r="AJ128" s="480"/>
      <c r="AK128" s="449">
        <f t="shared" si="278"/>
        <v>0</v>
      </c>
      <c r="AL128" s="449">
        <f>AL126</f>
        <v>0</v>
      </c>
      <c r="AM128" s="449">
        <f t="shared" si="279"/>
        <v>0</v>
      </c>
      <c r="AN128" s="449">
        <f t="shared" si="280"/>
        <v>0</v>
      </c>
      <c r="AO128" s="449">
        <f t="shared" si="281"/>
        <v>0</v>
      </c>
      <c r="AP128" s="480"/>
      <c r="AQ128" s="68">
        <f t="shared" si="306"/>
        <v>0</v>
      </c>
      <c r="AR128" s="68" t="e">
        <f t="shared" si="302"/>
        <v>#VALUE!</v>
      </c>
      <c r="AS128" s="68">
        <f t="shared" si="307"/>
        <v>0</v>
      </c>
      <c r="AT128" s="68">
        <f t="shared" si="308"/>
        <v>0</v>
      </c>
      <c r="AU128" s="68">
        <f t="shared" si="309"/>
        <v>0</v>
      </c>
      <c r="AY128" s="18"/>
      <c r="AZ128" s="18"/>
      <c r="BA128" s="18"/>
      <c r="BB128" s="18"/>
      <c r="BC128" s="18"/>
      <c r="BX128" s="485"/>
      <c r="BY128" s="485"/>
      <c r="BZ128" s="485"/>
      <c r="CA128" s="485"/>
      <c r="CB128" s="485"/>
      <c r="CC128" s="485"/>
      <c r="CD128" s="485"/>
      <c r="CE128" s="485"/>
      <c r="CF128" s="485"/>
      <c r="CG128" s="485"/>
      <c r="CH128" s="485"/>
      <c r="DN128" s="509"/>
      <c r="DO128" s="509"/>
      <c r="DP128" s="509"/>
      <c r="DQ128" s="509"/>
      <c r="DR128" s="509"/>
      <c r="DS128" s="509"/>
    </row>
    <row r="129" spans="1:123">
      <c r="A129" s="546"/>
      <c r="B129" s="714">
        <v>2</v>
      </c>
      <c r="C129" s="715" t="s">
        <v>100</v>
      </c>
      <c r="D129" s="500" t="s">
        <v>705</v>
      </c>
      <c r="E129" s="716">
        <f>30+29+1</f>
        <v>60</v>
      </c>
      <c r="F129" s="717"/>
      <c r="G129" s="717" t="str">
        <f t="shared" si="259"/>
        <v>046237L</v>
      </c>
      <c r="H129" s="851"/>
      <c r="I129" s="485" t="s">
        <v>609</v>
      </c>
      <c r="J129" s="509" t="s">
        <v>673</v>
      </c>
      <c r="K129" s="443" t="s">
        <v>516</v>
      </c>
      <c r="L129" s="445" t="s">
        <v>608</v>
      </c>
      <c r="M129" s="444">
        <f t="shared" si="311"/>
        <v>0</v>
      </c>
      <c r="N129" s="444">
        <f t="shared" si="311"/>
        <v>0</v>
      </c>
      <c r="O129" s="444">
        <f t="shared" si="311"/>
        <v>0</v>
      </c>
      <c r="P129" s="444">
        <f t="shared" si="311"/>
        <v>0</v>
      </c>
      <c r="Q129" s="444">
        <f t="shared" si="311"/>
        <v>0</v>
      </c>
      <c r="R129" s="444">
        <f t="shared" si="299"/>
        <v>1</v>
      </c>
      <c r="S129" s="470">
        <v>0</v>
      </c>
      <c r="T129" s="719">
        <v>39.699999999999996</v>
      </c>
      <c r="U129" s="720">
        <v>0</v>
      </c>
      <c r="V129" s="720">
        <v>0</v>
      </c>
      <c r="W129" s="720">
        <v>0</v>
      </c>
      <c r="X129" s="485"/>
      <c r="Y129" s="68">
        <f>IF(AND(M129&lt;&gt;0,S129=0),#VALUE!,M129*S129)</f>
        <v>0</v>
      </c>
      <c r="Z129" s="68">
        <f t="shared" si="319"/>
        <v>0</v>
      </c>
      <c r="AA129" s="68">
        <f t="shared" si="319"/>
        <v>0</v>
      </c>
      <c r="AB129" s="68">
        <f t="shared" si="319"/>
        <v>0</v>
      </c>
      <c r="AC129" s="68">
        <f t="shared" si="319"/>
        <v>0</v>
      </c>
      <c r="AD129" s="485"/>
      <c r="AE129" s="444">
        <f t="shared" ref="AE129:AI130" si="320">M129</f>
        <v>0</v>
      </c>
      <c r="AF129" s="444">
        <f t="shared" si="320"/>
        <v>0</v>
      </c>
      <c r="AG129" s="444">
        <f t="shared" si="320"/>
        <v>0</v>
      </c>
      <c r="AH129" s="444">
        <f t="shared" si="320"/>
        <v>0</v>
      </c>
      <c r="AI129" s="444">
        <f t="shared" si="320"/>
        <v>0</v>
      </c>
      <c r="AJ129" s="485"/>
      <c r="AK129" s="449">
        <f t="shared" si="278"/>
        <v>0</v>
      </c>
      <c r="AL129" s="449">
        <f>AL74-AL103-AL103</f>
        <v>44.83</v>
      </c>
      <c r="AM129" s="449">
        <f t="shared" si="279"/>
        <v>0</v>
      </c>
      <c r="AN129" s="449">
        <f t="shared" si="280"/>
        <v>0</v>
      </c>
      <c r="AO129" s="449">
        <f t="shared" si="281"/>
        <v>0</v>
      </c>
      <c r="AP129" s="485"/>
      <c r="AQ129" s="68">
        <f t="shared" si="306"/>
        <v>0</v>
      </c>
      <c r="AR129" s="68">
        <f t="shared" si="302"/>
        <v>0</v>
      </c>
      <c r="AS129" s="68">
        <f t="shared" si="307"/>
        <v>0</v>
      </c>
      <c r="AT129" s="68">
        <f t="shared" si="308"/>
        <v>0</v>
      </c>
      <c r="AU129" s="68">
        <f t="shared" si="309"/>
        <v>0</v>
      </c>
      <c r="AV129" s="68">
        <f>SUM(AQ129:AU129)-SUM(Y129:AC129)</f>
        <v>0</v>
      </c>
      <c r="AW129" s="68"/>
      <c r="AX129" s="454">
        <v>78</v>
      </c>
      <c r="AY129" s="446"/>
      <c r="AZ129" s="446">
        <v>35.47</v>
      </c>
      <c r="BA129" s="446"/>
      <c r="BB129" s="446"/>
      <c r="BC129" s="446"/>
      <c r="BD129" s="446"/>
      <c r="BE129" s="452">
        <f>ROUND(AX129*$BE$2,2)+ROUND(AX129*$BE$1,2)</f>
        <v>0.18000000000000005</v>
      </c>
      <c r="BF129" s="442"/>
      <c r="BG129" s="442">
        <f>ROUND((T129*$BF$2)+$BE129-AZ129,2)</f>
        <v>5.01</v>
      </c>
      <c r="BH129" s="442"/>
      <c r="BI129" s="442"/>
      <c r="BJ129" s="442"/>
      <c r="BK129" s="485"/>
      <c r="BL129" s="485"/>
      <c r="BM129" s="450">
        <f t="shared" ref="BM129:BQ130" si="321">AK129*$BM$1</f>
        <v>0</v>
      </c>
      <c r="BN129" s="450">
        <f t="shared" si="321"/>
        <v>45.506932999999997</v>
      </c>
      <c r="BO129" s="450">
        <f t="shared" si="321"/>
        <v>0</v>
      </c>
      <c r="BP129" s="450">
        <f t="shared" si="321"/>
        <v>0</v>
      </c>
      <c r="BQ129" s="450">
        <f t="shared" si="321"/>
        <v>0</v>
      </c>
      <c r="BR129" s="485"/>
      <c r="BS129" s="442">
        <f t="shared" ref="BS129:BW130" si="322">BM129-AY129</f>
        <v>0</v>
      </c>
      <c r="BT129" s="442">
        <f t="shared" si="322"/>
        <v>10.036932999999998</v>
      </c>
      <c r="BU129" s="442">
        <f t="shared" si="322"/>
        <v>0</v>
      </c>
      <c r="BV129" s="442">
        <f t="shared" si="322"/>
        <v>0</v>
      </c>
      <c r="BW129" s="442">
        <f t="shared" si="322"/>
        <v>0</v>
      </c>
      <c r="CH129" s="485"/>
      <c r="CI129" s="485"/>
      <c r="CJ129" s="485"/>
      <c r="DN129" s="509"/>
      <c r="DO129" s="509"/>
      <c r="DP129" s="509"/>
      <c r="DQ129" s="509"/>
      <c r="DR129" s="509"/>
      <c r="DS129" s="509"/>
    </row>
    <row r="130" spans="1:123">
      <c r="A130" s="388"/>
      <c r="B130" s="714">
        <v>2</v>
      </c>
      <c r="C130" s="715" t="s">
        <v>100</v>
      </c>
      <c r="D130" s="714">
        <v>335</v>
      </c>
      <c r="E130" s="716">
        <v>8</v>
      </c>
      <c r="F130" s="717"/>
      <c r="G130" s="717" t="str">
        <f t="shared" si="259"/>
        <v>046335</v>
      </c>
      <c r="H130" s="271"/>
      <c r="I130" s="468" t="s">
        <v>393</v>
      </c>
      <c r="J130" s="468" t="s">
        <v>87</v>
      </c>
      <c r="K130" s="471" t="s">
        <v>117</v>
      </c>
      <c r="L130" s="518">
        <v>478</v>
      </c>
      <c r="M130" s="519">
        <f t="shared" si="311"/>
        <v>0</v>
      </c>
      <c r="N130" s="519">
        <f t="shared" si="311"/>
        <v>0</v>
      </c>
      <c r="O130" s="481">
        <f t="shared" si="311"/>
        <v>0</v>
      </c>
      <c r="P130" s="481">
        <f t="shared" si="311"/>
        <v>0</v>
      </c>
      <c r="Q130" s="481">
        <f t="shared" si="311"/>
        <v>0</v>
      </c>
      <c r="R130" s="481">
        <f t="shared" si="299"/>
        <v>1</v>
      </c>
      <c r="S130" s="482">
        <v>0</v>
      </c>
      <c r="T130" s="721">
        <v>20.059999999999999</v>
      </c>
      <c r="U130" s="721">
        <v>0</v>
      </c>
      <c r="V130" s="721">
        <v>0</v>
      </c>
      <c r="W130" s="721">
        <v>0</v>
      </c>
      <c r="X130" s="468"/>
      <c r="Y130" s="510">
        <f>IF(AND(M130&lt;&gt;0,S130=0),#VALUE!,M130*S130)</f>
        <v>0</v>
      </c>
      <c r="Z130" s="510">
        <f t="shared" si="319"/>
        <v>0</v>
      </c>
      <c r="AA130" s="510">
        <f t="shared" si="319"/>
        <v>0</v>
      </c>
      <c r="AB130" s="510">
        <f t="shared" si="319"/>
        <v>0</v>
      </c>
      <c r="AC130" s="510">
        <f t="shared" si="319"/>
        <v>0</v>
      </c>
      <c r="AD130" s="468"/>
      <c r="AE130" s="481">
        <f t="shared" si="320"/>
        <v>0</v>
      </c>
      <c r="AF130" s="481">
        <f t="shared" si="320"/>
        <v>0</v>
      </c>
      <c r="AG130" s="481">
        <f t="shared" si="320"/>
        <v>0</v>
      </c>
      <c r="AH130" s="481">
        <f t="shared" si="320"/>
        <v>0</v>
      </c>
      <c r="AI130" s="481">
        <f t="shared" si="320"/>
        <v>0</v>
      </c>
      <c r="AJ130" s="468"/>
      <c r="AK130" s="483">
        <f t="shared" si="278"/>
        <v>0</v>
      </c>
      <c r="AL130" s="483">
        <f t="shared" ref="AL130:AL141" si="323">ROUND(T130*(1+AL$1),2)</f>
        <v>22.11</v>
      </c>
      <c r="AM130" s="483">
        <f t="shared" si="279"/>
        <v>0</v>
      </c>
      <c r="AN130" s="449">
        <f t="shared" si="280"/>
        <v>0</v>
      </c>
      <c r="AO130" s="449">
        <f t="shared" si="281"/>
        <v>0</v>
      </c>
      <c r="AP130" s="293"/>
      <c r="AQ130" s="68">
        <f t="shared" si="306"/>
        <v>0</v>
      </c>
      <c r="AR130" s="68">
        <f t="shared" si="302"/>
        <v>0</v>
      </c>
      <c r="AS130" s="68">
        <f t="shared" si="307"/>
        <v>0</v>
      </c>
      <c r="AT130" s="68">
        <f t="shared" si="308"/>
        <v>0</v>
      </c>
      <c r="AU130" s="68">
        <f t="shared" si="309"/>
        <v>0</v>
      </c>
      <c r="AV130" s="68">
        <f>SUM(AQ130:AU130)-SUM(Y130:AC130)</f>
        <v>0</v>
      </c>
      <c r="AW130" s="68"/>
      <c r="AX130" s="392"/>
      <c r="AY130" s="446"/>
      <c r="AZ130" s="446">
        <v>19.7</v>
      </c>
      <c r="BA130" s="446"/>
      <c r="BB130" s="446"/>
      <c r="BC130" s="446"/>
      <c r="BD130" s="131"/>
      <c r="BE130" s="452">
        <f>ROUND(AX130*$BE$2,2)+ROUND(AX130*$BE$1,2)</f>
        <v>0</v>
      </c>
      <c r="BF130" s="52"/>
      <c r="BG130" s="52">
        <f>ROUND((T130*$BF$2)+$BE130-AZ130,2)</f>
        <v>0.66</v>
      </c>
      <c r="BH130" s="52"/>
      <c r="BI130" s="52"/>
      <c r="BJ130" s="52"/>
      <c r="BK130" s="293"/>
      <c r="BL130" s="293"/>
      <c r="BM130" s="249">
        <f t="shared" si="321"/>
        <v>0</v>
      </c>
      <c r="BN130" s="249">
        <f t="shared" si="321"/>
        <v>22.443860999999998</v>
      </c>
      <c r="BO130" s="249">
        <f t="shared" si="321"/>
        <v>0</v>
      </c>
      <c r="BP130" s="249">
        <f t="shared" si="321"/>
        <v>0</v>
      </c>
      <c r="BQ130" s="249">
        <f t="shared" si="321"/>
        <v>0</v>
      </c>
      <c r="BR130" s="293"/>
      <c r="BS130" s="52">
        <f t="shared" si="322"/>
        <v>0</v>
      </c>
      <c r="BT130" s="52">
        <f t="shared" si="322"/>
        <v>2.743860999999999</v>
      </c>
      <c r="BU130" s="52">
        <f t="shared" si="322"/>
        <v>0</v>
      </c>
      <c r="BV130" s="52">
        <f t="shared" si="322"/>
        <v>0</v>
      </c>
      <c r="BW130" s="52">
        <f t="shared" si="322"/>
        <v>0</v>
      </c>
      <c r="BX130" s="485"/>
      <c r="BY130" s="485"/>
      <c r="BZ130" s="485"/>
      <c r="CA130" s="485"/>
      <c r="CB130" s="485"/>
      <c r="CC130" s="485"/>
      <c r="CD130" s="485"/>
      <c r="CE130" s="485"/>
      <c r="CF130" s="485"/>
      <c r="CG130" s="485"/>
    </row>
    <row r="131" spans="1:123">
      <c r="A131" s="388"/>
      <c r="B131" s="714">
        <v>2</v>
      </c>
      <c r="C131" s="715" t="s">
        <v>100</v>
      </c>
      <c r="D131" s="714" t="s">
        <v>668</v>
      </c>
      <c r="E131" s="716">
        <v>0</v>
      </c>
      <c r="F131" s="717"/>
      <c r="G131" s="717" t="str">
        <f t="shared" ref="G131:G142" si="324">IF(OR(ISBLANK(C131),ISBLANK(D131)),"",TEXT(C131,"000")&amp;TEXT(D131,"000"))</f>
        <v>046295L</v>
      </c>
      <c r="H131" s="271"/>
      <c r="I131" s="468" t="s">
        <v>105</v>
      </c>
      <c r="J131" s="468" t="s">
        <v>128</v>
      </c>
      <c r="K131" s="471" t="s">
        <v>119</v>
      </c>
      <c r="L131" s="472">
        <v>539</v>
      </c>
      <c r="M131" s="67">
        <f t="shared" si="311"/>
        <v>0</v>
      </c>
      <c r="N131" s="67">
        <f t="shared" si="311"/>
        <v>0</v>
      </c>
      <c r="O131" s="67">
        <f t="shared" si="311"/>
        <v>0</v>
      </c>
      <c r="P131" s="67">
        <f t="shared" si="311"/>
        <v>0</v>
      </c>
      <c r="Q131" s="67">
        <f t="shared" si="311"/>
        <v>0</v>
      </c>
      <c r="R131" s="67">
        <f t="shared" si="299"/>
        <v>1</v>
      </c>
      <c r="S131" s="470">
        <v>0</v>
      </c>
      <c r="T131" s="720">
        <v>0</v>
      </c>
      <c r="U131" s="720">
        <v>0</v>
      </c>
      <c r="V131" s="720">
        <v>0</v>
      </c>
      <c r="W131" s="720">
        <v>0</v>
      </c>
      <c r="AE131" s="67">
        <f t="shared" ref="AE131:AI140" si="325">SUMIF($G:$G,TEXT(AE$3,"000")&amp;TEXT($L131,"000"),$E:$E)</f>
        <v>0</v>
      </c>
      <c r="AF131" s="67">
        <f t="shared" si="325"/>
        <v>0</v>
      </c>
      <c r="AG131" s="67">
        <f t="shared" si="325"/>
        <v>0</v>
      </c>
      <c r="AH131" s="67">
        <f t="shared" si="325"/>
        <v>0</v>
      </c>
      <c r="AI131" s="67">
        <f t="shared" si="325"/>
        <v>0</v>
      </c>
      <c r="AK131" s="381">
        <f t="shared" si="278"/>
        <v>0</v>
      </c>
      <c r="AL131" s="449">
        <f t="shared" si="323"/>
        <v>0</v>
      </c>
      <c r="AM131" s="449">
        <f t="shared" si="279"/>
        <v>0</v>
      </c>
      <c r="AN131" s="449">
        <f t="shared" si="280"/>
        <v>0</v>
      </c>
      <c r="AO131" s="449">
        <f t="shared" si="281"/>
        <v>0</v>
      </c>
      <c r="AX131" s="392"/>
      <c r="AY131" s="446"/>
      <c r="AZ131" s="446"/>
      <c r="BA131" s="446"/>
      <c r="BB131" s="446"/>
      <c r="BC131" s="446"/>
      <c r="BD131" s="131"/>
      <c r="BE131" s="452"/>
      <c r="BF131" s="52"/>
      <c r="BG131" s="52"/>
      <c r="BH131" s="52"/>
      <c r="BI131" s="52"/>
      <c r="BJ131" s="52"/>
      <c r="BM131" s="249">
        <f t="shared" ref="BM131:BM141" si="326">AK131*$BM$1</f>
        <v>0</v>
      </c>
      <c r="BN131" s="249">
        <f t="shared" ref="BN131:BN141" si="327">AL131*$BM$1</f>
        <v>0</v>
      </c>
      <c r="BO131" s="249">
        <f t="shared" ref="BO131:BO142" si="328">AM131*$BM$1</f>
        <v>0</v>
      </c>
      <c r="BP131" s="249">
        <f t="shared" ref="BP131:BP142" si="329">AN131*$BM$1</f>
        <v>0</v>
      </c>
      <c r="BQ131" s="249">
        <f t="shared" ref="BQ131:BQ142" si="330">AO131*$BM$1</f>
        <v>0</v>
      </c>
      <c r="BS131" s="52">
        <f t="shared" ref="BS131:BW137" si="331">BM131-AY131</f>
        <v>0</v>
      </c>
      <c r="BT131" s="52">
        <f t="shared" si="331"/>
        <v>0</v>
      </c>
      <c r="BU131" s="52">
        <f t="shared" si="331"/>
        <v>0</v>
      </c>
      <c r="BV131" s="52">
        <f t="shared" si="331"/>
        <v>0</v>
      </c>
      <c r="BW131" s="52">
        <f t="shared" si="331"/>
        <v>0</v>
      </c>
    </row>
    <row r="132" spans="1:123">
      <c r="B132" s="714">
        <v>2</v>
      </c>
      <c r="C132" s="715" t="s">
        <v>100</v>
      </c>
      <c r="D132" s="714" t="s">
        <v>669</v>
      </c>
      <c r="E132" s="716">
        <v>0</v>
      </c>
      <c r="F132" s="717"/>
      <c r="G132" s="717" t="str">
        <f t="shared" si="324"/>
        <v>046395L</v>
      </c>
      <c r="H132" s="271"/>
      <c r="I132" s="468" t="s">
        <v>116</v>
      </c>
      <c r="J132" s="468" t="s">
        <v>87</v>
      </c>
      <c r="K132" s="471" t="s">
        <v>119</v>
      </c>
      <c r="L132" s="472">
        <v>543</v>
      </c>
      <c r="M132" s="67">
        <f t="shared" ref="M132:Q141" si="332">SUMIF($G:$G,TEXT(M$3,"000")&amp;TEXT($L132,"000"),$E:$E)</f>
        <v>0</v>
      </c>
      <c r="N132" s="67">
        <f t="shared" si="332"/>
        <v>0</v>
      </c>
      <c r="O132" s="67">
        <f t="shared" si="332"/>
        <v>0</v>
      </c>
      <c r="P132" s="67">
        <f t="shared" si="332"/>
        <v>0</v>
      </c>
      <c r="Q132" s="67">
        <f t="shared" si="332"/>
        <v>0</v>
      </c>
      <c r="R132" s="67">
        <f t="shared" si="286"/>
        <v>1</v>
      </c>
      <c r="S132" s="470">
        <v>0</v>
      </c>
      <c r="T132" s="720">
        <v>0</v>
      </c>
      <c r="U132" s="720">
        <v>0</v>
      </c>
      <c r="V132" s="720">
        <v>0</v>
      </c>
      <c r="W132" s="720">
        <v>0</v>
      </c>
      <c r="AC132" s="68"/>
      <c r="AE132" s="67">
        <f t="shared" si="325"/>
        <v>0</v>
      </c>
      <c r="AF132" s="67">
        <f t="shared" si="325"/>
        <v>0</v>
      </c>
      <c r="AG132" s="67">
        <f t="shared" si="325"/>
        <v>0</v>
      </c>
      <c r="AH132" s="67">
        <f t="shared" si="325"/>
        <v>0</v>
      </c>
      <c r="AI132" s="67">
        <f t="shared" si="325"/>
        <v>0</v>
      </c>
      <c r="AK132" s="381">
        <f t="shared" si="278"/>
        <v>0</v>
      </c>
      <c r="AL132" s="449">
        <f t="shared" si="323"/>
        <v>0</v>
      </c>
      <c r="AM132" s="449">
        <f t="shared" si="279"/>
        <v>0</v>
      </c>
      <c r="AN132" s="449">
        <f t="shared" si="280"/>
        <v>0</v>
      </c>
      <c r="AO132" s="449">
        <f t="shared" si="281"/>
        <v>0</v>
      </c>
      <c r="AX132" s="392"/>
      <c r="AY132" s="446"/>
      <c r="AZ132" s="446"/>
      <c r="BA132" s="446"/>
      <c r="BB132" s="446"/>
      <c r="BC132" s="446"/>
      <c r="BD132" s="131"/>
      <c r="BE132" s="452"/>
      <c r="BF132" s="52"/>
      <c r="BG132" s="52"/>
      <c r="BH132" s="52"/>
      <c r="BI132" s="52"/>
      <c r="BJ132" s="52"/>
      <c r="BM132" s="249">
        <f t="shared" si="326"/>
        <v>0</v>
      </c>
      <c r="BN132" s="249">
        <f t="shared" si="327"/>
        <v>0</v>
      </c>
      <c r="BO132" s="249">
        <f t="shared" si="328"/>
        <v>0</v>
      </c>
      <c r="BP132" s="249">
        <f t="shared" si="329"/>
        <v>0</v>
      </c>
      <c r="BQ132" s="249">
        <f t="shared" si="330"/>
        <v>0</v>
      </c>
      <c r="BS132" s="52">
        <f t="shared" si="331"/>
        <v>0</v>
      </c>
      <c r="BT132" s="52">
        <f t="shared" si="331"/>
        <v>0</v>
      </c>
      <c r="BU132" s="52">
        <f t="shared" si="331"/>
        <v>0</v>
      </c>
      <c r="BV132" s="52">
        <f t="shared" si="331"/>
        <v>0</v>
      </c>
      <c r="BW132" s="52">
        <f t="shared" si="331"/>
        <v>0</v>
      </c>
      <c r="BX132" s="485"/>
      <c r="BY132" s="485"/>
      <c r="BZ132" s="485"/>
      <c r="CA132" s="485"/>
      <c r="CB132" s="485"/>
      <c r="CC132" s="485"/>
      <c r="CD132" s="485"/>
      <c r="CE132" s="485"/>
      <c r="CF132" s="485"/>
      <c r="CG132" s="485"/>
      <c r="DH132" s="505"/>
      <c r="DI132" s="505"/>
      <c r="DJ132" s="505"/>
      <c r="DK132" s="505"/>
      <c r="DL132" s="505"/>
    </row>
    <row r="133" spans="1:123">
      <c r="B133" s="714">
        <v>2</v>
      </c>
      <c r="C133" s="715" t="s">
        <v>100</v>
      </c>
      <c r="D133" s="714">
        <v>435</v>
      </c>
      <c r="E133" s="716">
        <v>20</v>
      </c>
      <c r="F133" s="717"/>
      <c r="G133" s="717" t="str">
        <f t="shared" si="324"/>
        <v>046435</v>
      </c>
      <c r="H133" s="271"/>
      <c r="I133" s="468" t="s">
        <v>110</v>
      </c>
      <c r="J133" s="468" t="s">
        <v>123</v>
      </c>
      <c r="K133" s="471">
        <v>20000</v>
      </c>
      <c r="L133" s="472">
        <v>619</v>
      </c>
      <c r="M133" s="67">
        <f t="shared" si="332"/>
        <v>0</v>
      </c>
      <c r="N133" s="67">
        <f t="shared" si="332"/>
        <v>0</v>
      </c>
      <c r="O133" s="67">
        <f t="shared" si="332"/>
        <v>0</v>
      </c>
      <c r="P133" s="67">
        <f t="shared" si="332"/>
        <v>0</v>
      </c>
      <c r="Q133" s="67">
        <f t="shared" si="332"/>
        <v>0</v>
      </c>
      <c r="R133" s="67">
        <f t="shared" si="286"/>
        <v>1</v>
      </c>
      <c r="S133" s="470">
        <v>0</v>
      </c>
      <c r="T133" s="720">
        <v>0</v>
      </c>
      <c r="U133" s="720">
        <v>0</v>
      </c>
      <c r="V133" s="720">
        <v>0</v>
      </c>
      <c r="W133" s="720">
        <v>0</v>
      </c>
      <c r="AE133" s="67">
        <f t="shared" si="325"/>
        <v>0</v>
      </c>
      <c r="AF133" s="67">
        <f t="shared" si="325"/>
        <v>0</v>
      </c>
      <c r="AG133" s="67">
        <f t="shared" si="325"/>
        <v>0</v>
      </c>
      <c r="AH133" s="67">
        <f t="shared" si="325"/>
        <v>0</v>
      </c>
      <c r="AI133" s="67">
        <f t="shared" si="325"/>
        <v>0</v>
      </c>
      <c r="AK133" s="381">
        <f t="shared" si="278"/>
        <v>0</v>
      </c>
      <c r="AL133" s="449">
        <f t="shared" si="323"/>
        <v>0</v>
      </c>
      <c r="AM133" s="449">
        <f t="shared" si="279"/>
        <v>0</v>
      </c>
      <c r="AN133" s="449">
        <f t="shared" si="280"/>
        <v>0</v>
      </c>
      <c r="AO133" s="449">
        <f t="shared" si="281"/>
        <v>0</v>
      </c>
      <c r="AX133" s="392"/>
      <c r="AY133" s="446"/>
      <c r="AZ133" s="446"/>
      <c r="BA133" s="446"/>
      <c r="BB133" s="446"/>
      <c r="BC133" s="446"/>
      <c r="BD133" s="131"/>
      <c r="BE133" s="452"/>
      <c r="BF133" s="52"/>
      <c r="BG133" s="52"/>
      <c r="BH133" s="52"/>
      <c r="BI133" s="52"/>
      <c r="BJ133" s="52"/>
      <c r="BM133" s="249">
        <f t="shared" si="326"/>
        <v>0</v>
      </c>
      <c r="BN133" s="249">
        <f t="shared" si="327"/>
        <v>0</v>
      </c>
      <c r="BO133" s="249">
        <f t="shared" si="328"/>
        <v>0</v>
      </c>
      <c r="BP133" s="249">
        <f t="shared" si="329"/>
        <v>0</v>
      </c>
      <c r="BQ133" s="249">
        <f t="shared" si="330"/>
        <v>0</v>
      </c>
      <c r="BS133" s="52">
        <f t="shared" si="331"/>
        <v>0</v>
      </c>
      <c r="BT133" s="52">
        <f t="shared" si="331"/>
        <v>0</v>
      </c>
      <c r="BU133" s="52">
        <f t="shared" si="331"/>
        <v>0</v>
      </c>
      <c r="BV133" s="52">
        <f t="shared" si="331"/>
        <v>0</v>
      </c>
      <c r="BW133" s="52">
        <f t="shared" si="331"/>
        <v>0</v>
      </c>
      <c r="BX133" s="293"/>
      <c r="BY133" s="293"/>
      <c r="BZ133" s="293"/>
      <c r="CA133" s="293"/>
      <c r="CB133" s="293"/>
      <c r="CK133" s="388"/>
      <c r="CW133" s="455"/>
      <c r="CX133" s="455"/>
      <c r="DM133" s="509"/>
    </row>
    <row r="134" spans="1:123">
      <c r="B134" s="714">
        <v>2</v>
      </c>
      <c r="C134" s="715" t="s">
        <v>100</v>
      </c>
      <c r="D134" s="714">
        <v>495</v>
      </c>
      <c r="E134" s="716">
        <v>0</v>
      </c>
      <c r="F134" s="717"/>
      <c r="G134" s="717" t="str">
        <f t="shared" si="324"/>
        <v>046495</v>
      </c>
      <c r="H134" s="271"/>
      <c r="I134" s="468" t="s">
        <v>105</v>
      </c>
      <c r="J134" s="468" t="s">
        <v>128</v>
      </c>
      <c r="K134" s="471" t="s">
        <v>120</v>
      </c>
      <c r="L134" s="472">
        <v>639</v>
      </c>
      <c r="M134" s="67">
        <f t="shared" si="332"/>
        <v>0</v>
      </c>
      <c r="N134" s="67">
        <f t="shared" si="332"/>
        <v>0</v>
      </c>
      <c r="O134" s="67">
        <f t="shared" si="332"/>
        <v>0</v>
      </c>
      <c r="P134" s="67">
        <f t="shared" si="332"/>
        <v>0</v>
      </c>
      <c r="Q134" s="67">
        <f t="shared" si="332"/>
        <v>0</v>
      </c>
      <c r="R134" s="67">
        <f t="shared" si="286"/>
        <v>1</v>
      </c>
      <c r="S134" s="470">
        <v>0</v>
      </c>
      <c r="T134" s="720">
        <v>0</v>
      </c>
      <c r="U134" s="720">
        <v>0</v>
      </c>
      <c r="V134" s="720">
        <v>0</v>
      </c>
      <c r="W134" s="720">
        <v>0</v>
      </c>
      <c r="AA134" s="380" t="s">
        <v>808</v>
      </c>
      <c r="AE134" s="67">
        <f t="shared" si="325"/>
        <v>0</v>
      </c>
      <c r="AF134" s="67">
        <f t="shared" si="325"/>
        <v>0</v>
      </c>
      <c r="AG134" s="67">
        <f t="shared" si="325"/>
        <v>0</v>
      </c>
      <c r="AH134" s="67">
        <f t="shared" si="325"/>
        <v>0</v>
      </c>
      <c r="AI134" s="67">
        <f t="shared" si="325"/>
        <v>0</v>
      </c>
      <c r="AK134" s="381">
        <f t="shared" si="278"/>
        <v>0</v>
      </c>
      <c r="AL134" s="449">
        <f t="shared" si="323"/>
        <v>0</v>
      </c>
      <c r="AM134" s="449">
        <f t="shared" si="279"/>
        <v>0</v>
      </c>
      <c r="AN134" s="449">
        <f t="shared" si="280"/>
        <v>0</v>
      </c>
      <c r="AO134" s="449">
        <f t="shared" si="281"/>
        <v>0</v>
      </c>
      <c r="AX134" s="392"/>
      <c r="AY134" s="446"/>
      <c r="AZ134" s="446"/>
      <c r="BA134" s="446"/>
      <c r="BB134" s="446"/>
      <c r="BC134" s="446"/>
      <c r="BD134" s="131"/>
      <c r="BE134" s="452"/>
      <c r="BF134" s="52"/>
      <c r="BG134" s="52"/>
      <c r="BH134" s="52"/>
      <c r="BI134" s="52"/>
      <c r="BJ134" s="52"/>
      <c r="BM134" s="249">
        <f t="shared" si="326"/>
        <v>0</v>
      </c>
      <c r="BN134" s="249">
        <f t="shared" si="327"/>
        <v>0</v>
      </c>
      <c r="BO134" s="249">
        <f t="shared" si="328"/>
        <v>0</v>
      </c>
      <c r="BP134" s="249">
        <f t="shared" si="329"/>
        <v>0</v>
      </c>
      <c r="BQ134" s="249">
        <f t="shared" si="330"/>
        <v>0</v>
      </c>
      <c r="BS134" s="52">
        <f t="shared" si="331"/>
        <v>0</v>
      </c>
      <c r="BT134" s="52">
        <f t="shared" si="331"/>
        <v>0</v>
      </c>
      <c r="BU134" s="52">
        <f t="shared" si="331"/>
        <v>0</v>
      </c>
      <c r="BV134" s="52">
        <f t="shared" si="331"/>
        <v>0</v>
      </c>
      <c r="BW134" s="52">
        <f t="shared" si="331"/>
        <v>0</v>
      </c>
    </row>
    <row r="135" spans="1:123">
      <c r="B135" s="714">
        <v>2</v>
      </c>
      <c r="C135" s="715" t="s">
        <v>100</v>
      </c>
      <c r="D135" s="714">
        <v>499</v>
      </c>
      <c r="E135" s="716">
        <v>41</v>
      </c>
      <c r="F135" s="717"/>
      <c r="G135" s="717" t="str">
        <f t="shared" si="324"/>
        <v>046499</v>
      </c>
      <c r="H135" s="271"/>
      <c r="I135" s="468" t="s">
        <v>116</v>
      </c>
      <c r="J135" s="468" t="s">
        <v>86</v>
      </c>
      <c r="K135" s="471" t="s">
        <v>120</v>
      </c>
      <c r="L135" s="472">
        <v>642</v>
      </c>
      <c r="M135" s="67">
        <f t="shared" si="332"/>
        <v>0</v>
      </c>
      <c r="N135" s="67">
        <f t="shared" si="332"/>
        <v>0</v>
      </c>
      <c r="O135" s="67">
        <f t="shared" si="332"/>
        <v>0</v>
      </c>
      <c r="P135" s="67">
        <f t="shared" si="332"/>
        <v>0</v>
      </c>
      <c r="Q135" s="67">
        <f t="shared" si="332"/>
        <v>0</v>
      </c>
      <c r="R135" s="67">
        <f t="shared" si="286"/>
        <v>1</v>
      </c>
      <c r="S135" s="470">
        <v>0</v>
      </c>
      <c r="T135" s="720">
        <v>0</v>
      </c>
      <c r="U135" s="720">
        <v>0</v>
      </c>
      <c r="V135" s="720">
        <v>0</v>
      </c>
      <c r="W135" s="720">
        <v>0</v>
      </c>
      <c r="Y135" s="466"/>
      <c r="Z135" s="466"/>
      <c r="AA135" s="466"/>
      <c r="AB135" s="466"/>
      <c r="AC135" s="466"/>
      <c r="AE135" s="67">
        <f t="shared" si="325"/>
        <v>0</v>
      </c>
      <c r="AF135" s="67">
        <f t="shared" si="325"/>
        <v>0</v>
      </c>
      <c r="AG135" s="67">
        <f t="shared" si="325"/>
        <v>0</v>
      </c>
      <c r="AH135" s="67">
        <f t="shared" si="325"/>
        <v>0</v>
      </c>
      <c r="AI135" s="67">
        <f t="shared" si="325"/>
        <v>0</v>
      </c>
      <c r="AK135" s="381">
        <f t="shared" si="278"/>
        <v>0</v>
      </c>
      <c r="AL135" s="449">
        <f t="shared" si="323"/>
        <v>0</v>
      </c>
      <c r="AM135" s="449">
        <f t="shared" si="279"/>
        <v>0</v>
      </c>
      <c r="AN135" s="449">
        <f t="shared" si="280"/>
        <v>0</v>
      </c>
      <c r="AO135" s="449">
        <f t="shared" si="281"/>
        <v>0</v>
      </c>
      <c r="AX135" s="392"/>
      <c r="AY135" s="446"/>
      <c r="AZ135" s="446"/>
      <c r="BA135" s="446"/>
      <c r="BB135" s="446"/>
      <c r="BC135" s="446"/>
      <c r="BD135" s="131"/>
      <c r="BE135" s="452"/>
      <c r="BF135" s="52"/>
      <c r="BG135" s="52"/>
      <c r="BH135" s="52"/>
      <c r="BI135" s="52"/>
      <c r="BJ135" s="52"/>
      <c r="BM135" s="249">
        <f t="shared" si="326"/>
        <v>0</v>
      </c>
      <c r="BN135" s="249">
        <f t="shared" si="327"/>
        <v>0</v>
      </c>
      <c r="BO135" s="249">
        <f t="shared" si="328"/>
        <v>0</v>
      </c>
      <c r="BP135" s="249">
        <f t="shared" si="329"/>
        <v>0</v>
      </c>
      <c r="BQ135" s="249">
        <f t="shared" si="330"/>
        <v>0</v>
      </c>
      <c r="BS135" s="52">
        <f t="shared" si="331"/>
        <v>0</v>
      </c>
      <c r="BT135" s="52">
        <f t="shared" si="331"/>
        <v>0</v>
      </c>
      <c r="BU135" s="52">
        <f t="shared" si="331"/>
        <v>0</v>
      </c>
      <c r="BV135" s="52">
        <f t="shared" si="331"/>
        <v>0</v>
      </c>
      <c r="BW135" s="52">
        <f t="shared" si="331"/>
        <v>0</v>
      </c>
    </row>
    <row r="136" spans="1:123">
      <c r="B136" s="714">
        <v>2</v>
      </c>
      <c r="C136" s="715" t="s">
        <v>100</v>
      </c>
      <c r="D136" s="714">
        <v>535</v>
      </c>
      <c r="E136" s="716">
        <v>40</v>
      </c>
      <c r="F136" s="717"/>
      <c r="G136" s="717" t="str">
        <f t="shared" si="324"/>
        <v>046535</v>
      </c>
      <c r="H136" s="247"/>
      <c r="I136" s="468" t="s">
        <v>105</v>
      </c>
      <c r="J136" s="468" t="s">
        <v>85</v>
      </c>
      <c r="K136" s="471" t="s">
        <v>122</v>
      </c>
      <c r="L136" s="472">
        <v>731</v>
      </c>
      <c r="M136" s="67">
        <f t="shared" si="332"/>
        <v>0</v>
      </c>
      <c r="N136" s="67">
        <f t="shared" si="332"/>
        <v>0</v>
      </c>
      <c r="O136" s="67">
        <f t="shared" si="332"/>
        <v>0</v>
      </c>
      <c r="P136" s="67">
        <f t="shared" si="332"/>
        <v>0</v>
      </c>
      <c r="Q136" s="67">
        <f t="shared" si="332"/>
        <v>0</v>
      </c>
      <c r="R136" s="67">
        <f t="shared" si="286"/>
        <v>1</v>
      </c>
      <c r="S136" s="470">
        <v>0</v>
      </c>
      <c r="T136" s="720">
        <v>0</v>
      </c>
      <c r="U136" s="720">
        <v>0</v>
      </c>
      <c r="V136" s="720">
        <v>0</v>
      </c>
      <c r="W136" s="720">
        <v>0</v>
      </c>
      <c r="AE136" s="67">
        <f t="shared" si="325"/>
        <v>0</v>
      </c>
      <c r="AF136" s="67">
        <f t="shared" si="325"/>
        <v>0</v>
      </c>
      <c r="AG136" s="67">
        <f t="shared" si="325"/>
        <v>0</v>
      </c>
      <c r="AH136" s="67">
        <f t="shared" si="325"/>
        <v>0</v>
      </c>
      <c r="AI136" s="67">
        <f t="shared" si="325"/>
        <v>0</v>
      </c>
      <c r="AK136" s="381">
        <f t="shared" si="278"/>
        <v>0</v>
      </c>
      <c r="AL136" s="449">
        <f t="shared" si="323"/>
        <v>0</v>
      </c>
      <c r="AM136" s="449">
        <f t="shared" si="279"/>
        <v>0</v>
      </c>
      <c r="AN136" s="449">
        <f t="shared" si="280"/>
        <v>0</v>
      </c>
      <c r="AO136" s="449">
        <f t="shared" si="281"/>
        <v>0</v>
      </c>
      <c r="AX136" s="392"/>
      <c r="AY136" s="446"/>
      <c r="AZ136" s="446"/>
      <c r="BA136" s="446"/>
      <c r="BB136" s="446"/>
      <c r="BC136" s="446"/>
      <c r="BD136" s="131"/>
      <c r="BE136" s="452"/>
      <c r="BF136" s="52"/>
      <c r="BG136" s="52"/>
      <c r="BH136" s="52"/>
      <c r="BI136" s="52"/>
      <c r="BJ136" s="52"/>
      <c r="BM136" s="249">
        <f t="shared" si="326"/>
        <v>0</v>
      </c>
      <c r="BN136" s="249">
        <f t="shared" si="327"/>
        <v>0</v>
      </c>
      <c r="BO136" s="249">
        <f t="shared" si="328"/>
        <v>0</v>
      </c>
      <c r="BP136" s="249">
        <f t="shared" si="329"/>
        <v>0</v>
      </c>
      <c r="BQ136" s="249">
        <f t="shared" si="330"/>
        <v>0</v>
      </c>
      <c r="BS136" s="52">
        <f t="shared" si="331"/>
        <v>0</v>
      </c>
      <c r="BT136" s="52">
        <f t="shared" si="331"/>
        <v>0</v>
      </c>
      <c r="BU136" s="52">
        <f t="shared" si="331"/>
        <v>0</v>
      </c>
      <c r="BV136" s="52">
        <f t="shared" si="331"/>
        <v>0</v>
      </c>
      <c r="BW136" s="52">
        <f t="shared" si="331"/>
        <v>0</v>
      </c>
      <c r="DN136" s="509"/>
      <c r="DO136" s="509"/>
      <c r="DP136" s="509"/>
      <c r="DQ136" s="509"/>
      <c r="DR136" s="509"/>
      <c r="DS136" s="509"/>
    </row>
    <row r="137" spans="1:123">
      <c r="B137" s="714">
        <v>2</v>
      </c>
      <c r="C137" s="715" t="s">
        <v>100</v>
      </c>
      <c r="D137" s="714">
        <v>635</v>
      </c>
      <c r="E137" s="716">
        <v>220</v>
      </c>
      <c r="F137" s="717"/>
      <c r="G137" s="717" t="str">
        <f t="shared" si="324"/>
        <v>046635</v>
      </c>
      <c r="H137" s="271"/>
      <c r="I137" s="468" t="s">
        <v>105</v>
      </c>
      <c r="J137" s="468" t="s">
        <v>87</v>
      </c>
      <c r="K137" s="471" t="s">
        <v>122</v>
      </c>
      <c r="L137" s="472">
        <v>733</v>
      </c>
      <c r="M137" s="67">
        <f t="shared" si="332"/>
        <v>0</v>
      </c>
      <c r="N137" s="67">
        <f t="shared" si="332"/>
        <v>0</v>
      </c>
      <c r="O137" s="67">
        <f t="shared" si="332"/>
        <v>0</v>
      </c>
      <c r="P137" s="67">
        <f t="shared" si="332"/>
        <v>0</v>
      </c>
      <c r="Q137" s="67">
        <f t="shared" si="332"/>
        <v>0</v>
      </c>
      <c r="R137" s="67">
        <f>IF(SUM(M137:Q137)&gt;0,0,1)</f>
        <v>1</v>
      </c>
      <c r="S137" s="470">
        <v>0</v>
      </c>
      <c r="T137" s="720">
        <v>0</v>
      </c>
      <c r="U137" s="720">
        <v>0</v>
      </c>
      <c r="V137" s="720">
        <v>0</v>
      </c>
      <c r="W137" s="720">
        <v>0</v>
      </c>
      <c r="AE137" s="67">
        <f t="shared" si="325"/>
        <v>0</v>
      </c>
      <c r="AF137" s="67">
        <f t="shared" si="325"/>
        <v>0</v>
      </c>
      <c r="AG137" s="67">
        <f t="shared" si="325"/>
        <v>0</v>
      </c>
      <c r="AH137" s="67">
        <f t="shared" si="325"/>
        <v>0</v>
      </c>
      <c r="AI137" s="67">
        <f t="shared" si="325"/>
        <v>0</v>
      </c>
      <c r="AK137" s="381">
        <f t="shared" si="278"/>
        <v>0</v>
      </c>
      <c r="AL137" s="449">
        <f t="shared" si="323"/>
        <v>0</v>
      </c>
      <c r="AM137" s="449">
        <f t="shared" si="279"/>
        <v>0</v>
      </c>
      <c r="AN137" s="449">
        <f t="shared" si="280"/>
        <v>0</v>
      </c>
      <c r="AO137" s="449">
        <f t="shared" si="281"/>
        <v>0</v>
      </c>
      <c r="AX137" s="392"/>
      <c r="AY137" s="446"/>
      <c r="AZ137" s="446"/>
      <c r="BA137" s="446"/>
      <c r="BB137" s="446"/>
      <c r="BC137" s="446"/>
      <c r="BD137" s="131"/>
      <c r="BE137" s="452"/>
      <c r="BF137" s="52"/>
      <c r="BG137" s="52"/>
      <c r="BH137" s="52"/>
      <c r="BI137" s="52"/>
      <c r="BJ137" s="52"/>
      <c r="BM137" s="249">
        <f t="shared" si="326"/>
        <v>0</v>
      </c>
      <c r="BN137" s="249">
        <f t="shared" si="327"/>
        <v>0</v>
      </c>
      <c r="BO137" s="249">
        <f t="shared" si="328"/>
        <v>0</v>
      </c>
      <c r="BP137" s="249">
        <f t="shared" si="329"/>
        <v>0</v>
      </c>
      <c r="BQ137" s="249">
        <f t="shared" si="330"/>
        <v>0</v>
      </c>
      <c r="BS137" s="52">
        <f t="shared" si="331"/>
        <v>0</v>
      </c>
      <c r="BT137" s="52">
        <f t="shared" si="331"/>
        <v>0</v>
      </c>
      <c r="BU137" s="52">
        <f t="shared" si="331"/>
        <v>0</v>
      </c>
      <c r="BV137" s="52">
        <f t="shared" si="331"/>
        <v>0</v>
      </c>
      <c r="BW137" s="52">
        <f t="shared" si="331"/>
        <v>0</v>
      </c>
      <c r="CV137" s="455"/>
      <c r="DR137" s="509"/>
      <c r="DS137" s="509"/>
    </row>
    <row r="138" spans="1:123">
      <c r="B138" s="714">
        <v>2</v>
      </c>
      <c r="C138" s="715" t="s">
        <v>100</v>
      </c>
      <c r="D138" s="714">
        <v>735</v>
      </c>
      <c r="E138" s="716">
        <v>142</v>
      </c>
      <c r="F138" s="717"/>
      <c r="G138" s="717" t="str">
        <f t="shared" si="324"/>
        <v>046735</v>
      </c>
      <c r="H138" s="247"/>
      <c r="I138" s="468" t="s">
        <v>105</v>
      </c>
      <c r="J138" s="468" t="s">
        <v>128</v>
      </c>
      <c r="K138" s="471" t="s">
        <v>122</v>
      </c>
      <c r="L138" s="472">
        <v>739</v>
      </c>
      <c r="M138" s="67">
        <f t="shared" si="332"/>
        <v>0</v>
      </c>
      <c r="N138" s="67">
        <f t="shared" si="332"/>
        <v>0</v>
      </c>
      <c r="O138" s="67">
        <f t="shared" si="332"/>
        <v>0</v>
      </c>
      <c r="P138" s="67">
        <f t="shared" si="332"/>
        <v>0</v>
      </c>
      <c r="Q138" s="67">
        <f t="shared" si="332"/>
        <v>0</v>
      </c>
      <c r="R138" s="67">
        <f t="shared" si="286"/>
        <v>1</v>
      </c>
      <c r="S138" s="470">
        <v>0</v>
      </c>
      <c r="T138" s="720">
        <v>0</v>
      </c>
      <c r="U138" s="720">
        <v>0</v>
      </c>
      <c r="V138" s="720">
        <v>0</v>
      </c>
      <c r="W138" s="720">
        <v>0</v>
      </c>
      <c r="AE138" s="67">
        <f t="shared" si="325"/>
        <v>0</v>
      </c>
      <c r="AF138" s="67">
        <f t="shared" si="325"/>
        <v>0</v>
      </c>
      <c r="AG138" s="67">
        <f t="shared" si="325"/>
        <v>0</v>
      </c>
      <c r="AH138" s="67">
        <f t="shared" si="325"/>
        <v>0</v>
      </c>
      <c r="AI138" s="67">
        <f t="shared" si="325"/>
        <v>0</v>
      </c>
      <c r="AK138" s="381">
        <f t="shared" si="278"/>
        <v>0</v>
      </c>
      <c r="AL138" s="449">
        <f t="shared" si="323"/>
        <v>0</v>
      </c>
      <c r="AM138" s="449">
        <f t="shared" si="279"/>
        <v>0</v>
      </c>
      <c r="AN138" s="449">
        <f t="shared" si="280"/>
        <v>0</v>
      </c>
      <c r="AO138" s="449">
        <f t="shared" si="281"/>
        <v>0</v>
      </c>
      <c r="AX138" s="392"/>
      <c r="AY138" s="446"/>
      <c r="AZ138" s="446"/>
      <c r="BA138" s="446"/>
      <c r="BB138" s="446"/>
      <c r="BC138" s="446"/>
      <c r="BD138" s="131"/>
      <c r="BE138" s="452"/>
      <c r="BF138" s="52"/>
      <c r="BG138" s="52"/>
      <c r="BH138" s="52"/>
      <c r="BI138" s="52"/>
      <c r="BJ138" s="52"/>
      <c r="BM138" s="249">
        <f t="shared" si="326"/>
        <v>0</v>
      </c>
      <c r="BN138" s="249">
        <f t="shared" si="327"/>
        <v>0</v>
      </c>
      <c r="BO138" s="249">
        <f t="shared" si="328"/>
        <v>0</v>
      </c>
      <c r="BP138" s="249">
        <f t="shared" si="329"/>
        <v>0</v>
      </c>
      <c r="BQ138" s="249">
        <f t="shared" si="330"/>
        <v>0</v>
      </c>
      <c r="BS138" s="52">
        <f t="shared" ref="BS138:BW141" si="333">BM138-AY138</f>
        <v>0</v>
      </c>
      <c r="BT138" s="52">
        <f t="shared" si="333"/>
        <v>0</v>
      </c>
      <c r="BU138" s="52">
        <f t="shared" si="333"/>
        <v>0</v>
      </c>
      <c r="BV138" s="52">
        <f t="shared" si="333"/>
        <v>0</v>
      </c>
      <c r="BW138" s="52">
        <f t="shared" si="333"/>
        <v>0</v>
      </c>
      <c r="CU138" s="455"/>
      <c r="DR138" s="509"/>
      <c r="DS138" s="509"/>
    </row>
    <row r="139" spans="1:123">
      <c r="B139" s="714">
        <v>2</v>
      </c>
      <c r="C139" s="715" t="s">
        <v>100</v>
      </c>
      <c r="D139" s="714">
        <v>835</v>
      </c>
      <c r="E139" s="716">
        <v>8</v>
      </c>
      <c r="F139" s="717"/>
      <c r="G139" s="717" t="str">
        <f t="shared" si="324"/>
        <v>046835</v>
      </c>
      <c r="H139" s="717"/>
      <c r="I139" s="468" t="s">
        <v>116</v>
      </c>
      <c r="J139" s="468" t="s">
        <v>86</v>
      </c>
      <c r="K139" s="471" t="s">
        <v>122</v>
      </c>
      <c r="L139" s="472">
        <v>742</v>
      </c>
      <c r="M139" s="67">
        <f t="shared" si="332"/>
        <v>0</v>
      </c>
      <c r="N139" s="67">
        <f t="shared" si="332"/>
        <v>0</v>
      </c>
      <c r="O139" s="67">
        <f t="shared" si="332"/>
        <v>0</v>
      </c>
      <c r="P139" s="67">
        <f t="shared" si="332"/>
        <v>0</v>
      </c>
      <c r="Q139" s="67">
        <f t="shared" si="332"/>
        <v>0</v>
      </c>
      <c r="R139" s="67">
        <f t="shared" si="286"/>
        <v>1</v>
      </c>
      <c r="S139" s="470">
        <v>0</v>
      </c>
      <c r="T139" s="720">
        <v>0</v>
      </c>
      <c r="U139" s="720">
        <v>0</v>
      </c>
      <c r="V139" s="720">
        <v>0</v>
      </c>
      <c r="W139" s="720">
        <v>0</v>
      </c>
      <c r="AE139" s="67">
        <f t="shared" si="325"/>
        <v>0</v>
      </c>
      <c r="AF139" s="67">
        <f t="shared" si="325"/>
        <v>0</v>
      </c>
      <c r="AG139" s="67">
        <f t="shared" si="325"/>
        <v>0</v>
      </c>
      <c r="AH139" s="67">
        <f t="shared" si="325"/>
        <v>0</v>
      </c>
      <c r="AI139" s="67">
        <f t="shared" si="325"/>
        <v>0</v>
      </c>
      <c r="AK139" s="381">
        <f t="shared" si="278"/>
        <v>0</v>
      </c>
      <c r="AL139" s="449">
        <f t="shared" si="323"/>
        <v>0</v>
      </c>
      <c r="AM139" s="449">
        <f t="shared" si="279"/>
        <v>0</v>
      </c>
      <c r="AN139" s="449">
        <f t="shared" si="280"/>
        <v>0</v>
      </c>
      <c r="AO139" s="449">
        <f t="shared" si="281"/>
        <v>0</v>
      </c>
      <c r="AX139" s="392"/>
      <c r="AY139" s="446"/>
      <c r="AZ139" s="446"/>
      <c r="BA139" s="446"/>
      <c r="BB139" s="446"/>
      <c r="BC139" s="446"/>
      <c r="BD139" s="131"/>
      <c r="BE139" s="452"/>
      <c r="BF139" s="52"/>
      <c r="BG139" s="52"/>
      <c r="BH139" s="52"/>
      <c r="BI139" s="52"/>
      <c r="BJ139" s="52"/>
      <c r="BM139" s="249">
        <f t="shared" si="326"/>
        <v>0</v>
      </c>
      <c r="BN139" s="249">
        <f t="shared" si="327"/>
        <v>0</v>
      </c>
      <c r="BO139" s="249">
        <f t="shared" si="328"/>
        <v>0</v>
      </c>
      <c r="BP139" s="249">
        <f t="shared" si="329"/>
        <v>0</v>
      </c>
      <c r="BQ139" s="249">
        <f t="shared" si="330"/>
        <v>0</v>
      </c>
      <c r="BS139" s="52">
        <f t="shared" si="333"/>
        <v>0</v>
      </c>
      <c r="BT139" s="52">
        <f t="shared" si="333"/>
        <v>0</v>
      </c>
      <c r="BU139" s="52">
        <f t="shared" si="333"/>
        <v>0</v>
      </c>
      <c r="BV139" s="52">
        <f t="shared" si="333"/>
        <v>0</v>
      </c>
      <c r="BW139" s="52">
        <f t="shared" si="333"/>
        <v>0</v>
      </c>
      <c r="CT139" s="455"/>
    </row>
    <row r="140" spans="1:123">
      <c r="B140" s="714">
        <v>2</v>
      </c>
      <c r="C140" s="715" t="s">
        <v>100</v>
      </c>
      <c r="D140" s="714">
        <v>935</v>
      </c>
      <c r="E140" s="716">
        <v>59</v>
      </c>
      <c r="F140" s="717"/>
      <c r="G140" s="717" t="str">
        <f t="shared" si="324"/>
        <v>046935</v>
      </c>
      <c r="H140" s="247"/>
      <c r="I140" s="468" t="s">
        <v>110</v>
      </c>
      <c r="J140" s="468" t="s">
        <v>108</v>
      </c>
      <c r="K140" s="471">
        <v>55000</v>
      </c>
      <c r="L140" s="472">
        <v>815</v>
      </c>
      <c r="M140" s="67">
        <f t="shared" si="332"/>
        <v>0</v>
      </c>
      <c r="N140" s="67">
        <f t="shared" si="332"/>
        <v>0</v>
      </c>
      <c r="O140" s="67">
        <f t="shared" si="332"/>
        <v>0</v>
      </c>
      <c r="P140" s="67">
        <f t="shared" si="332"/>
        <v>0</v>
      </c>
      <c r="Q140" s="67">
        <f t="shared" si="332"/>
        <v>0</v>
      </c>
      <c r="R140" s="67">
        <f t="shared" si="286"/>
        <v>1</v>
      </c>
      <c r="S140" s="470">
        <v>0</v>
      </c>
      <c r="T140" s="720">
        <v>0</v>
      </c>
      <c r="U140" s="720">
        <v>0</v>
      </c>
      <c r="V140" s="720">
        <v>0</v>
      </c>
      <c r="W140" s="720">
        <v>0</v>
      </c>
      <c r="AE140" s="67">
        <f t="shared" si="325"/>
        <v>0</v>
      </c>
      <c r="AF140" s="67">
        <f t="shared" si="325"/>
        <v>0</v>
      </c>
      <c r="AG140" s="67">
        <f t="shared" si="325"/>
        <v>0</v>
      </c>
      <c r="AH140" s="67">
        <f t="shared" si="325"/>
        <v>0</v>
      </c>
      <c r="AI140" s="67">
        <f t="shared" si="325"/>
        <v>0</v>
      </c>
      <c r="AK140" s="381">
        <f t="shared" si="278"/>
        <v>0</v>
      </c>
      <c r="AL140" s="449">
        <f t="shared" si="323"/>
        <v>0</v>
      </c>
      <c r="AM140" s="449">
        <f t="shared" si="279"/>
        <v>0</v>
      </c>
      <c r="AN140" s="449">
        <f t="shared" si="280"/>
        <v>0</v>
      </c>
      <c r="AO140" s="449">
        <f t="shared" si="281"/>
        <v>0</v>
      </c>
      <c r="AX140" s="392"/>
      <c r="AY140" s="446"/>
      <c r="AZ140" s="446"/>
      <c r="BA140" s="446"/>
      <c r="BB140" s="446"/>
      <c r="BC140" s="446"/>
      <c r="BD140" s="131"/>
      <c r="BE140" s="452"/>
      <c r="BF140" s="52"/>
      <c r="BG140" s="52"/>
      <c r="BH140" s="52"/>
      <c r="BI140" s="52"/>
      <c r="BJ140" s="52"/>
      <c r="BM140" s="249">
        <f t="shared" si="326"/>
        <v>0</v>
      </c>
      <c r="BN140" s="249">
        <f t="shared" si="327"/>
        <v>0</v>
      </c>
      <c r="BO140" s="249">
        <f t="shared" si="328"/>
        <v>0</v>
      </c>
      <c r="BP140" s="249">
        <f t="shared" si="329"/>
        <v>0</v>
      </c>
      <c r="BQ140" s="249">
        <f t="shared" si="330"/>
        <v>0</v>
      </c>
      <c r="BS140" s="52">
        <f t="shared" si="333"/>
        <v>0</v>
      </c>
      <c r="BT140" s="52">
        <f t="shared" si="333"/>
        <v>0</v>
      </c>
      <c r="BU140" s="52">
        <f t="shared" si="333"/>
        <v>0</v>
      </c>
      <c r="BV140" s="52">
        <f t="shared" si="333"/>
        <v>0</v>
      </c>
      <c r="BW140" s="52">
        <f t="shared" si="333"/>
        <v>0</v>
      </c>
      <c r="CS140" s="455"/>
    </row>
    <row r="141" spans="1:123">
      <c r="B141" s="714"/>
      <c r="C141" s="714"/>
      <c r="D141" s="714"/>
      <c r="E141" s="849">
        <f>SUM(E108:E140)</f>
        <v>914</v>
      </c>
      <c r="F141" s="850"/>
      <c r="G141" s="717" t="str">
        <f t="shared" si="324"/>
        <v/>
      </c>
      <c r="H141" s="247"/>
      <c r="I141" s="468" t="s">
        <v>105</v>
      </c>
      <c r="J141" s="468" t="s">
        <v>87</v>
      </c>
      <c r="K141" s="471" t="s">
        <v>124</v>
      </c>
      <c r="L141" s="472">
        <v>833</v>
      </c>
      <c r="M141" s="67">
        <f t="shared" si="332"/>
        <v>0</v>
      </c>
      <c r="N141" s="67">
        <f t="shared" si="332"/>
        <v>0</v>
      </c>
      <c r="O141" s="67">
        <f t="shared" si="332"/>
        <v>0</v>
      </c>
      <c r="P141" s="67">
        <f t="shared" si="332"/>
        <v>0</v>
      </c>
      <c r="Q141" s="67">
        <f t="shared" si="332"/>
        <v>0</v>
      </c>
      <c r="R141" s="67">
        <f t="shared" si="286"/>
        <v>1</v>
      </c>
      <c r="S141" s="470">
        <v>0</v>
      </c>
      <c r="T141" s="720">
        <v>0</v>
      </c>
      <c r="U141" s="720">
        <v>0</v>
      </c>
      <c r="V141" s="720">
        <v>0</v>
      </c>
      <c r="W141" s="720">
        <v>0</v>
      </c>
      <c r="AE141" s="67">
        <f t="shared" ref="AE141:AI148" si="334">SUMIF($G:$G,TEXT(AE$3,"000")&amp;TEXT($L141,"000"),$E:$E)</f>
        <v>0</v>
      </c>
      <c r="AF141" s="67">
        <f t="shared" si="334"/>
        <v>0</v>
      </c>
      <c r="AG141" s="67">
        <f t="shared" si="334"/>
        <v>0</v>
      </c>
      <c r="AH141" s="67">
        <f t="shared" si="334"/>
        <v>0</v>
      </c>
      <c r="AI141" s="67">
        <f t="shared" si="334"/>
        <v>0</v>
      </c>
      <c r="AK141" s="381">
        <f t="shared" si="278"/>
        <v>0</v>
      </c>
      <c r="AL141" s="449">
        <f t="shared" si="323"/>
        <v>0</v>
      </c>
      <c r="AM141" s="449">
        <f t="shared" si="279"/>
        <v>0</v>
      </c>
      <c r="AN141" s="449">
        <f t="shared" si="280"/>
        <v>0</v>
      </c>
      <c r="AO141" s="449">
        <f t="shared" si="281"/>
        <v>0</v>
      </c>
      <c r="AX141" s="392"/>
      <c r="AY141" s="446"/>
      <c r="AZ141" s="446"/>
      <c r="BA141" s="446"/>
      <c r="BB141" s="446"/>
      <c r="BC141" s="446"/>
      <c r="BD141" s="131"/>
      <c r="BE141" s="452"/>
      <c r="BF141" s="52"/>
      <c r="BG141" s="52"/>
      <c r="BH141" s="52"/>
      <c r="BI141" s="52"/>
      <c r="BJ141" s="52"/>
      <c r="BM141" s="249">
        <f t="shared" si="326"/>
        <v>0</v>
      </c>
      <c r="BN141" s="249">
        <f t="shared" si="327"/>
        <v>0</v>
      </c>
      <c r="BO141" s="249">
        <f t="shared" si="328"/>
        <v>0</v>
      </c>
      <c r="BP141" s="249">
        <f t="shared" si="329"/>
        <v>0</v>
      </c>
      <c r="BQ141" s="249">
        <f t="shared" si="330"/>
        <v>0</v>
      </c>
      <c r="BS141" s="52">
        <f t="shared" si="333"/>
        <v>0</v>
      </c>
      <c r="BT141" s="52">
        <f t="shared" si="333"/>
        <v>0</v>
      </c>
      <c r="BU141" s="52">
        <f t="shared" si="333"/>
        <v>0</v>
      </c>
      <c r="BV141" s="52">
        <f t="shared" si="333"/>
        <v>0</v>
      </c>
      <c r="BW141" s="52">
        <f t="shared" si="333"/>
        <v>0</v>
      </c>
      <c r="CQ141" s="455"/>
      <c r="CR141" s="455"/>
    </row>
    <row r="142" spans="1:123">
      <c r="B142" s="714"/>
      <c r="C142" s="714"/>
      <c r="D142" s="714"/>
      <c r="E142" s="18"/>
      <c r="F142" s="18"/>
      <c r="G142" s="717" t="str">
        <f t="shared" si="324"/>
        <v/>
      </c>
      <c r="H142" s="247"/>
      <c r="I142" s="468" t="s">
        <v>612</v>
      </c>
      <c r="J142" s="468" t="s">
        <v>84</v>
      </c>
      <c r="K142" s="471" t="s">
        <v>503</v>
      </c>
      <c r="L142" s="472" t="s">
        <v>499</v>
      </c>
      <c r="M142" s="481">
        <f t="shared" ref="M142:Q148" si="335">SUMIF($G:$G,TEXT(M$3,"000")&amp;TEXT($L142,"000"),$E:$E)</f>
        <v>0</v>
      </c>
      <c r="N142" s="481">
        <f t="shared" si="335"/>
        <v>0</v>
      </c>
      <c r="O142" s="481">
        <f t="shared" si="335"/>
        <v>0</v>
      </c>
      <c r="P142" s="481">
        <f t="shared" si="335"/>
        <v>0</v>
      </c>
      <c r="Q142" s="481">
        <f t="shared" si="335"/>
        <v>0</v>
      </c>
      <c r="R142" s="481">
        <f>IF(SUM(M142:Q142)&gt;0,0,1)</f>
        <v>1</v>
      </c>
      <c r="S142" s="482">
        <v>0</v>
      </c>
      <c r="T142" s="721"/>
      <c r="U142" s="721">
        <v>0</v>
      </c>
      <c r="V142" s="721">
        <v>0</v>
      </c>
      <c r="W142" s="721">
        <v>0</v>
      </c>
      <c r="X142" s="468"/>
      <c r="Y142" s="468"/>
      <c r="Z142" s="468"/>
      <c r="AA142" s="468"/>
      <c r="AB142" s="468"/>
      <c r="AC142" s="468"/>
      <c r="AD142" s="468"/>
      <c r="AE142" s="481">
        <f t="shared" si="334"/>
        <v>0</v>
      </c>
      <c r="AF142" s="481">
        <f t="shared" si="334"/>
        <v>0</v>
      </c>
      <c r="AG142" s="481">
        <f t="shared" si="334"/>
        <v>0</v>
      </c>
      <c r="AH142" s="481">
        <f t="shared" si="334"/>
        <v>0</v>
      </c>
      <c r="AI142" s="481">
        <f t="shared" si="334"/>
        <v>0</v>
      </c>
      <c r="AJ142" s="468"/>
      <c r="AK142" s="483">
        <f t="shared" si="278"/>
        <v>0</v>
      </c>
      <c r="AL142" s="483"/>
      <c r="AM142" s="449">
        <f t="shared" si="279"/>
        <v>0</v>
      </c>
      <c r="AN142" s="449">
        <f t="shared" si="280"/>
        <v>0</v>
      </c>
      <c r="AO142" s="449">
        <f t="shared" si="281"/>
        <v>0</v>
      </c>
      <c r="AP142" s="441"/>
      <c r="AQ142" s="441"/>
      <c r="AR142" s="441"/>
      <c r="AS142" s="441"/>
      <c r="AT142" s="441"/>
      <c r="AU142" s="441"/>
      <c r="AV142" s="441"/>
      <c r="AX142" s="454">
        <v>26</v>
      </c>
      <c r="AY142" s="446"/>
      <c r="AZ142" s="446">
        <v>0</v>
      </c>
      <c r="BA142" s="446"/>
      <c r="BB142" s="446"/>
      <c r="BC142" s="446"/>
      <c r="BD142" s="446"/>
      <c r="BE142" s="452">
        <f>ROUND(AX142*$BE$2,2)+ROUND(AX142*$BE$1,2)</f>
        <v>0.06</v>
      </c>
      <c r="BF142" s="442"/>
      <c r="BG142" s="442">
        <f>ROUND((T142*$BF$2)+$BE142-AZ142,2)</f>
        <v>0.06</v>
      </c>
      <c r="BH142" s="442"/>
      <c r="BI142" s="442"/>
      <c r="BJ142" s="442"/>
      <c r="BK142" s="441"/>
      <c r="BL142" s="441"/>
      <c r="BM142" s="450">
        <f>AK142*$BM$1</f>
        <v>0</v>
      </c>
      <c r="BN142" s="450">
        <f>AL142*$BM$1</f>
        <v>0</v>
      </c>
      <c r="BO142" s="450">
        <f t="shared" si="328"/>
        <v>0</v>
      </c>
      <c r="BP142" s="450">
        <f t="shared" si="329"/>
        <v>0</v>
      </c>
      <c r="BQ142" s="450">
        <f t="shared" si="330"/>
        <v>0</v>
      </c>
      <c r="BR142" s="441"/>
      <c r="BS142" s="442">
        <f>BM142-AY142</f>
        <v>0</v>
      </c>
      <c r="BT142" s="442">
        <f>BN142-AZ142</f>
        <v>0</v>
      </c>
      <c r="BU142" s="442">
        <f>BO142-BA142</f>
        <v>0</v>
      </c>
      <c r="BV142" s="442">
        <f>BP142-BB142</f>
        <v>0</v>
      </c>
      <c r="BW142" s="442">
        <f>BQ142-BC142</f>
        <v>0</v>
      </c>
    </row>
    <row r="143" spans="1:123">
      <c r="B143" s="714">
        <v>2</v>
      </c>
      <c r="C143" s="714"/>
      <c r="D143" s="714"/>
      <c r="E143" s="717">
        <f>E11+E81+E97+E106+E141</f>
        <v>24086</v>
      </c>
      <c r="F143" s="717"/>
      <c r="G143" s="717"/>
      <c r="H143" s="247"/>
      <c r="I143" s="18" t="s">
        <v>609</v>
      </c>
      <c r="J143" s="18" t="s">
        <v>113</v>
      </c>
      <c r="K143" s="82" t="s">
        <v>516</v>
      </c>
      <c r="L143" s="287" t="s">
        <v>652</v>
      </c>
      <c r="M143" s="444">
        <f t="shared" si="335"/>
        <v>0</v>
      </c>
      <c r="N143" s="444">
        <f t="shared" si="335"/>
        <v>0</v>
      </c>
      <c r="O143" s="444">
        <f t="shared" si="335"/>
        <v>0</v>
      </c>
      <c r="P143" s="444">
        <f t="shared" si="335"/>
        <v>0</v>
      </c>
      <c r="Q143" s="444">
        <f t="shared" si="335"/>
        <v>0</v>
      </c>
      <c r="R143" s="444">
        <f>IF(SUM(M143:Q143)&gt;0,0,1)</f>
        <v>1</v>
      </c>
      <c r="T143" s="720">
        <v>54.97</v>
      </c>
      <c r="U143" s="647"/>
      <c r="V143" s="647"/>
      <c r="W143" s="647"/>
      <c r="AE143" s="444">
        <f t="shared" si="334"/>
        <v>0</v>
      </c>
      <c r="AF143" s="444">
        <f t="shared" si="334"/>
        <v>0</v>
      </c>
      <c r="AG143" s="444">
        <f t="shared" si="334"/>
        <v>0</v>
      </c>
      <c r="AH143" s="444">
        <f t="shared" si="334"/>
        <v>0</v>
      </c>
      <c r="AI143" s="444">
        <f t="shared" si="334"/>
        <v>0</v>
      </c>
      <c r="AL143" s="449">
        <f>ROUND(T143*(1+AL$1),2)</f>
        <v>60.6</v>
      </c>
      <c r="AM143" s="494"/>
      <c r="AN143" s="494"/>
      <c r="AO143" s="494"/>
      <c r="CA143" s="441"/>
      <c r="CB143" s="441"/>
    </row>
    <row r="144" spans="1:123">
      <c r="B144" s="18"/>
      <c r="C144" s="18"/>
      <c r="D144" s="18"/>
      <c r="E144" s="18"/>
      <c r="F144" s="18"/>
      <c r="G144" s="18"/>
      <c r="H144" s="247"/>
      <c r="I144" s="380" t="s">
        <v>605</v>
      </c>
      <c r="J144" s="441" t="s">
        <v>86</v>
      </c>
      <c r="K144" s="443" t="s">
        <v>516</v>
      </c>
      <c r="L144" s="445" t="s">
        <v>506</v>
      </c>
      <c r="M144" s="444">
        <f t="shared" si="335"/>
        <v>0</v>
      </c>
      <c r="N144" s="444">
        <f t="shared" si="335"/>
        <v>0</v>
      </c>
      <c r="O144" s="444">
        <f t="shared" si="335"/>
        <v>0</v>
      </c>
      <c r="P144" s="444">
        <f t="shared" si="335"/>
        <v>0</v>
      </c>
      <c r="Q144" s="444">
        <f t="shared" si="335"/>
        <v>0</v>
      </c>
      <c r="R144" s="444">
        <f t="shared" ref="R144:R151" si="336">IF(SUM(M144:Q144)&gt;0,0,1)</f>
        <v>1</v>
      </c>
      <c r="S144" s="470">
        <v>0</v>
      </c>
      <c r="T144" s="720">
        <v>68.959999999999994</v>
      </c>
      <c r="U144" s="720">
        <v>0</v>
      </c>
      <c r="V144" s="720">
        <v>0</v>
      </c>
      <c r="W144" s="720">
        <v>0</v>
      </c>
      <c r="X144" s="441"/>
      <c r="Y144" s="441"/>
      <c r="Z144" s="441"/>
      <c r="AA144" s="441"/>
      <c r="AB144" s="441"/>
      <c r="AC144" s="441"/>
      <c r="AD144" s="441"/>
      <c r="AE144" s="444">
        <f t="shared" si="334"/>
        <v>0</v>
      </c>
      <c r="AF144" s="444">
        <f t="shared" si="334"/>
        <v>0</v>
      </c>
      <c r="AG144" s="444">
        <f t="shared" si="334"/>
        <v>0</v>
      </c>
      <c r="AH144" s="444">
        <f t="shared" si="334"/>
        <v>0</v>
      </c>
      <c r="AI144" s="444">
        <f t="shared" si="334"/>
        <v>0</v>
      </c>
      <c r="AJ144" s="441"/>
      <c r="AK144" s="449">
        <f>ROUND(S144*(1+AK$1),2)</f>
        <v>0</v>
      </c>
      <c r="AL144" s="449">
        <f>ROUND(T144*(1+AL$1),2)</f>
        <v>76.02</v>
      </c>
      <c r="AM144" s="449">
        <f t="shared" ref="AM144:AO148" si="337">ROUND(U144*(1+AM$1),2)</f>
        <v>0</v>
      </c>
      <c r="AN144" s="449">
        <f t="shared" si="337"/>
        <v>0</v>
      </c>
      <c r="AO144" s="449">
        <f t="shared" si="337"/>
        <v>0</v>
      </c>
      <c r="AP144" s="441"/>
      <c r="AQ144" s="441"/>
      <c r="AR144" s="441"/>
      <c r="AS144" s="441"/>
      <c r="AT144" s="441"/>
      <c r="AU144" s="441"/>
      <c r="AV144" s="441"/>
      <c r="AX144" s="454">
        <v>39</v>
      </c>
      <c r="AY144" s="446"/>
      <c r="AZ144" s="446">
        <v>64.245678999999996</v>
      </c>
      <c r="BA144" s="446"/>
      <c r="BB144" s="446"/>
      <c r="BC144" s="446"/>
      <c r="BD144" s="446"/>
      <c r="BE144" s="452">
        <f>ROUND(AX144*$BE$2,2)+ROUND(AX144*$BE$1,2)</f>
        <v>8.0000000000000016E-2</v>
      </c>
      <c r="BF144" s="442"/>
      <c r="BG144" s="442">
        <f>ROUND((T144*$BF$2)+$BE144-AZ144,2)</f>
        <v>5.84</v>
      </c>
      <c r="BH144" s="442"/>
      <c r="BI144" s="442"/>
      <c r="BJ144" s="442"/>
      <c r="BK144" s="441"/>
      <c r="BL144" s="441"/>
      <c r="BM144" s="450">
        <f t="shared" ref="BM144:BQ148" si="338">AK144*$BM$1</f>
        <v>0</v>
      </c>
      <c r="BN144" s="450">
        <f t="shared" si="338"/>
        <v>77.167901999999984</v>
      </c>
      <c r="BO144" s="450">
        <f t="shared" si="338"/>
        <v>0</v>
      </c>
      <c r="BP144" s="450">
        <f t="shared" si="338"/>
        <v>0</v>
      </c>
      <c r="BQ144" s="450">
        <f t="shared" si="338"/>
        <v>0</v>
      </c>
      <c r="BR144" s="441"/>
      <c r="BS144" s="442">
        <f t="shared" ref="BS144:BW148" si="339">BM144-AY144</f>
        <v>0</v>
      </c>
      <c r="BT144" s="442">
        <f t="shared" si="339"/>
        <v>12.922222999999988</v>
      </c>
      <c r="BU144" s="442">
        <f t="shared" si="339"/>
        <v>0</v>
      </c>
      <c r="BV144" s="442">
        <f t="shared" si="339"/>
        <v>0</v>
      </c>
      <c r="BW144" s="442">
        <f t="shared" si="339"/>
        <v>0</v>
      </c>
      <c r="BX144" s="441"/>
      <c r="BY144" s="441"/>
      <c r="BZ144" s="441"/>
      <c r="CA144" s="441"/>
      <c r="CB144" s="441"/>
    </row>
    <row r="145" spans="2:85">
      <c r="B145" s="18"/>
      <c r="C145" s="18"/>
      <c r="D145" s="82" t="s">
        <v>366</v>
      </c>
      <c r="E145" s="852">
        <f>22760+192+243+892</f>
        <v>24087</v>
      </c>
      <c r="F145" s="494"/>
      <c r="G145" s="717"/>
      <c r="H145" s="247"/>
      <c r="I145" s="380" t="s">
        <v>609</v>
      </c>
      <c r="J145" s="455" t="s">
        <v>86</v>
      </c>
      <c r="K145" s="443" t="s">
        <v>109</v>
      </c>
      <c r="L145" s="445" t="s">
        <v>514</v>
      </c>
      <c r="M145" s="444">
        <f t="shared" si="335"/>
        <v>0</v>
      </c>
      <c r="N145" s="444">
        <f t="shared" si="335"/>
        <v>0</v>
      </c>
      <c r="O145" s="444">
        <f t="shared" si="335"/>
        <v>0</v>
      </c>
      <c r="P145" s="444">
        <f t="shared" si="335"/>
        <v>0</v>
      </c>
      <c r="Q145" s="444">
        <f t="shared" si="335"/>
        <v>0</v>
      </c>
      <c r="R145" s="444">
        <f t="shared" si="336"/>
        <v>1</v>
      </c>
      <c r="S145" s="470">
        <v>0</v>
      </c>
      <c r="T145" s="720">
        <v>47.36</v>
      </c>
      <c r="U145" s="720">
        <v>0</v>
      </c>
      <c r="V145" s="720">
        <v>0</v>
      </c>
      <c r="W145" s="720">
        <v>0</v>
      </c>
      <c r="X145" s="455"/>
      <c r="Y145" s="455"/>
      <c r="Z145" s="455"/>
      <c r="AA145" s="455"/>
      <c r="AB145" s="455"/>
      <c r="AC145" s="455"/>
      <c r="AD145" s="455"/>
      <c r="AE145" s="444">
        <f t="shared" si="334"/>
        <v>0</v>
      </c>
      <c r="AF145" s="444">
        <f t="shared" si="334"/>
        <v>0</v>
      </c>
      <c r="AG145" s="444">
        <f t="shared" si="334"/>
        <v>0</v>
      </c>
      <c r="AH145" s="444">
        <f t="shared" si="334"/>
        <v>0</v>
      </c>
      <c r="AI145" s="444">
        <f t="shared" si="334"/>
        <v>0</v>
      </c>
      <c r="AJ145" s="455"/>
      <c r="AK145" s="449">
        <f>ROUND(S145*(1+AK$1),2)</f>
        <v>0</v>
      </c>
      <c r="AL145" s="449">
        <f>ROUND(T145*(1+AL$1),2)</f>
        <v>52.21</v>
      </c>
      <c r="AM145" s="449">
        <f t="shared" si="337"/>
        <v>0</v>
      </c>
      <c r="AN145" s="449">
        <f t="shared" si="337"/>
        <v>0</v>
      </c>
      <c r="AO145" s="449">
        <f t="shared" si="337"/>
        <v>0</v>
      </c>
      <c r="AP145" s="455"/>
      <c r="AQ145" s="455"/>
      <c r="AR145" s="455"/>
      <c r="AS145" s="455"/>
      <c r="AT145" s="455"/>
      <c r="AU145" s="455"/>
      <c r="AV145" s="455"/>
      <c r="AX145" s="454">
        <f>26+26</f>
        <v>52</v>
      </c>
      <c r="AY145" s="446"/>
      <c r="AZ145" s="446">
        <v>44.116245999999997</v>
      </c>
      <c r="BA145" s="446"/>
      <c r="BB145" s="446"/>
      <c r="BC145" s="446"/>
      <c r="BD145" s="446"/>
      <c r="BE145" s="452">
        <f>ROUND(AX145*$BE$2,2)+ROUND(AX145*$BE$1,2)</f>
        <v>0.10999999999999999</v>
      </c>
      <c r="BF145" s="442"/>
      <c r="BG145" s="442">
        <f>ROUND((T145*$BF$2)+$BE145-AZ145,2)</f>
        <v>4.07</v>
      </c>
      <c r="BH145" s="442"/>
      <c r="BI145" s="442"/>
      <c r="BJ145" s="442"/>
      <c r="BK145" s="455"/>
      <c r="BL145" s="455"/>
      <c r="BM145" s="450">
        <f t="shared" si="338"/>
        <v>0</v>
      </c>
      <c r="BN145" s="450">
        <f t="shared" si="338"/>
        <v>52.998370999999992</v>
      </c>
      <c r="BO145" s="450">
        <f t="shared" si="338"/>
        <v>0</v>
      </c>
      <c r="BP145" s="450">
        <f t="shared" si="338"/>
        <v>0</v>
      </c>
      <c r="BQ145" s="450">
        <f t="shared" si="338"/>
        <v>0</v>
      </c>
      <c r="BR145" s="455"/>
      <c r="BS145" s="442">
        <f t="shared" si="339"/>
        <v>0</v>
      </c>
      <c r="BT145" s="442">
        <f t="shared" si="339"/>
        <v>8.8821249999999949</v>
      </c>
      <c r="BU145" s="442">
        <f t="shared" si="339"/>
        <v>0</v>
      </c>
      <c r="BV145" s="442">
        <f t="shared" si="339"/>
        <v>0</v>
      </c>
      <c r="BW145" s="442">
        <f t="shared" si="339"/>
        <v>0</v>
      </c>
      <c r="BX145" s="441"/>
      <c r="BY145" s="441"/>
      <c r="BZ145" s="441"/>
      <c r="CA145" s="441"/>
      <c r="CB145" s="441"/>
    </row>
    <row r="146" spans="2:85">
      <c r="B146" s="18"/>
      <c r="C146" s="18"/>
      <c r="D146" s="82" t="s">
        <v>367</v>
      </c>
      <c r="E146" s="853">
        <f>4062+5595</f>
        <v>9657</v>
      </c>
      <c r="F146" s="494"/>
      <c r="G146" s="18"/>
      <c r="H146" s="247"/>
      <c r="I146" s="380" t="s">
        <v>612</v>
      </c>
      <c r="J146" s="455" t="s">
        <v>84</v>
      </c>
      <c r="K146" s="443" t="s">
        <v>109</v>
      </c>
      <c r="L146" s="445" t="s">
        <v>515</v>
      </c>
      <c r="M146" s="444">
        <f t="shared" si="335"/>
        <v>0</v>
      </c>
      <c r="N146" s="444">
        <f t="shared" si="335"/>
        <v>0</v>
      </c>
      <c r="O146" s="444">
        <f t="shared" si="335"/>
        <v>0</v>
      </c>
      <c r="P146" s="444">
        <f t="shared" si="335"/>
        <v>0</v>
      </c>
      <c r="Q146" s="444">
        <f t="shared" si="335"/>
        <v>0</v>
      </c>
      <c r="R146" s="444">
        <f t="shared" si="336"/>
        <v>1</v>
      </c>
      <c r="S146" s="470">
        <v>0</v>
      </c>
      <c r="T146" s="720">
        <v>24.21</v>
      </c>
      <c r="U146" s="720">
        <v>0</v>
      </c>
      <c r="V146" s="720">
        <v>0</v>
      </c>
      <c r="W146" s="720">
        <v>0</v>
      </c>
      <c r="X146" s="455"/>
      <c r="Y146" s="455"/>
      <c r="Z146" s="455"/>
      <c r="AA146" s="455"/>
      <c r="AB146" s="455"/>
      <c r="AC146" s="455"/>
      <c r="AD146" s="455"/>
      <c r="AE146" s="444">
        <f t="shared" si="334"/>
        <v>0</v>
      </c>
      <c r="AF146" s="444">
        <f t="shared" si="334"/>
        <v>0</v>
      </c>
      <c r="AG146" s="444">
        <f t="shared" si="334"/>
        <v>0</v>
      </c>
      <c r="AH146" s="444">
        <f t="shared" si="334"/>
        <v>0</v>
      </c>
      <c r="AI146" s="444">
        <f t="shared" si="334"/>
        <v>0</v>
      </c>
      <c r="AJ146" s="455"/>
      <c r="AK146" s="449">
        <f>ROUND(S146*(1+AK$1),2)</f>
        <v>0</v>
      </c>
      <c r="AL146" s="449">
        <f>ROUND(T146*(1+AL$1),2)</f>
        <v>26.69</v>
      </c>
      <c r="AM146" s="449">
        <f t="shared" si="337"/>
        <v>0</v>
      </c>
      <c r="AN146" s="449">
        <f t="shared" si="337"/>
        <v>0</v>
      </c>
      <c r="AO146" s="449">
        <f t="shared" si="337"/>
        <v>0</v>
      </c>
      <c r="AP146" s="455"/>
      <c r="AQ146" s="455"/>
      <c r="AR146" s="455"/>
      <c r="AS146" s="455"/>
      <c r="AT146" s="455"/>
      <c r="AU146" s="455"/>
      <c r="AV146" s="455"/>
      <c r="AX146" s="454">
        <v>26</v>
      </c>
      <c r="AY146" s="446"/>
      <c r="AZ146" s="446">
        <v>21.367854999999999</v>
      </c>
      <c r="BA146" s="446"/>
      <c r="BB146" s="446"/>
      <c r="BC146" s="446"/>
      <c r="BD146" s="446"/>
      <c r="BE146" s="452">
        <f>ROUND(AX146*$BE$2,2)+ROUND(AX146*$BE$1,2)</f>
        <v>0.06</v>
      </c>
      <c r="BF146" s="442"/>
      <c r="BG146" s="442">
        <f>ROUND((T146*$BF$2)+$BE146-AZ146,2)</f>
        <v>3.27</v>
      </c>
      <c r="BH146" s="442"/>
      <c r="BI146" s="442"/>
      <c r="BJ146" s="442"/>
      <c r="BK146" s="455"/>
      <c r="BL146" s="455"/>
      <c r="BM146" s="450">
        <f t="shared" si="338"/>
        <v>0</v>
      </c>
      <c r="BN146" s="450">
        <f t="shared" si="338"/>
        <v>27.093018999999998</v>
      </c>
      <c r="BO146" s="450">
        <f t="shared" si="338"/>
        <v>0</v>
      </c>
      <c r="BP146" s="450">
        <f t="shared" si="338"/>
        <v>0</v>
      </c>
      <c r="BQ146" s="450">
        <f t="shared" si="338"/>
        <v>0</v>
      </c>
      <c r="BR146" s="455"/>
      <c r="BS146" s="442">
        <f t="shared" si="339"/>
        <v>0</v>
      </c>
      <c r="BT146" s="442">
        <f t="shared" si="339"/>
        <v>5.7251639999999995</v>
      </c>
      <c r="BU146" s="442">
        <f t="shared" si="339"/>
        <v>0</v>
      </c>
      <c r="BV146" s="442">
        <f t="shared" si="339"/>
        <v>0</v>
      </c>
      <c r="BW146" s="442">
        <f t="shared" si="339"/>
        <v>0</v>
      </c>
    </row>
    <row r="147" spans="2:85">
      <c r="B147" s="18"/>
      <c r="C147" s="18"/>
      <c r="D147" s="714"/>
      <c r="E147" s="849">
        <f>E145+E146</f>
        <v>33744</v>
      </c>
      <c r="F147" s="18"/>
      <c r="G147" s="18"/>
      <c r="H147" s="247"/>
      <c r="I147" s="508" t="s">
        <v>409</v>
      </c>
      <c r="J147" s="508" t="s">
        <v>108</v>
      </c>
      <c r="K147" s="443" t="s">
        <v>666</v>
      </c>
      <c r="L147" s="445" t="s">
        <v>668</v>
      </c>
      <c r="M147" s="444">
        <f t="shared" si="335"/>
        <v>0</v>
      </c>
      <c r="N147" s="444">
        <f t="shared" si="335"/>
        <v>0</v>
      </c>
      <c r="O147" s="444">
        <f t="shared" si="335"/>
        <v>0</v>
      </c>
      <c r="P147" s="444">
        <f t="shared" si="335"/>
        <v>0</v>
      </c>
      <c r="Q147" s="444">
        <f t="shared" si="335"/>
        <v>0</v>
      </c>
      <c r="R147" s="444">
        <f t="shared" si="336"/>
        <v>1</v>
      </c>
      <c r="S147" s="470">
        <v>0</v>
      </c>
      <c r="T147" s="720"/>
      <c r="U147" s="720">
        <v>0</v>
      </c>
      <c r="V147" s="720">
        <v>0</v>
      </c>
      <c r="W147" s="720">
        <v>0</v>
      </c>
      <c r="X147" s="508"/>
      <c r="Y147" s="68">
        <f t="shared" ref="Y147:Y148" si="340">IF(AND(M147&lt;&gt;0,S147=0),#VALUE!,M147*S147)</f>
        <v>0</v>
      </c>
      <c r="Z147" s="68">
        <f t="shared" ref="Z147:Z148" si="341">IF(AND(N147&lt;&gt;0,T147=0),#VALUE!,N147*T147)</f>
        <v>0</v>
      </c>
      <c r="AA147" s="68">
        <f t="shared" ref="AA147:AA148" si="342">IF(AND(O147&lt;&gt;0,U147=0),#VALUE!,O147*U147)</f>
        <v>0</v>
      </c>
      <c r="AB147" s="68">
        <f t="shared" ref="AB147:AB148" si="343">IF(AND(P147&lt;&gt;0,V147=0),#VALUE!,P147*V147)</f>
        <v>0</v>
      </c>
      <c r="AC147" s="68">
        <f t="shared" ref="AC147:AC148" si="344">IF(AND(Q147&lt;&gt;0,W147=0),#VALUE!,Q147*W147)</f>
        <v>0</v>
      </c>
      <c r="AD147" s="508"/>
      <c r="AE147" s="444">
        <f t="shared" si="334"/>
        <v>0</v>
      </c>
      <c r="AF147" s="444">
        <f t="shared" si="334"/>
        <v>0</v>
      </c>
      <c r="AG147" s="444">
        <f t="shared" si="334"/>
        <v>0</v>
      </c>
      <c r="AH147" s="444">
        <f t="shared" si="334"/>
        <v>0</v>
      </c>
      <c r="AI147" s="444">
        <f t="shared" si="334"/>
        <v>0</v>
      </c>
      <c r="AJ147" s="508"/>
      <c r="AK147" s="449">
        <f>ROUND(S147*(1+AK$1),2)</f>
        <v>0</v>
      </c>
      <c r="AL147" s="449"/>
      <c r="AM147" s="449">
        <f t="shared" si="337"/>
        <v>0</v>
      </c>
      <c r="AN147" s="449">
        <f t="shared" si="337"/>
        <v>0</v>
      </c>
      <c r="AO147" s="483">
        <f t="shared" si="337"/>
        <v>0</v>
      </c>
      <c r="AP147" s="508"/>
      <c r="AQ147" s="68">
        <f t="shared" ref="AQ147:AQ148" si="345">IF(AND(AE147&lt;&gt;0,AK147=0),#VALUE!,AE147*AK147)</f>
        <v>0</v>
      </c>
      <c r="AR147" s="68">
        <f t="shared" ref="AR147:AR148" si="346">IF(AND(AF147&lt;&gt;0,AL147=0),#VALUE!,AF147*AL147)</f>
        <v>0</v>
      </c>
      <c r="AS147" s="68">
        <f t="shared" ref="AS147:AS148" si="347">IF(AND(AG147&lt;&gt;0,AM147=0),#VALUE!,AG147*AM147)</f>
        <v>0</v>
      </c>
      <c r="AT147" s="68">
        <f t="shared" ref="AT147:AT148" si="348">IF(AND(AH147&lt;&gt;0,AN147=0),#VALUE!,AH147*AN147)</f>
        <v>0</v>
      </c>
      <c r="AU147" s="68">
        <f t="shared" ref="AU147:AU148" si="349">IF(AND(AI147&lt;&gt;0,AO147=0),#VALUE!,AI147*AO147)</f>
        <v>0</v>
      </c>
      <c r="AV147" s="508"/>
      <c r="AX147" s="454">
        <v>6</v>
      </c>
      <c r="AY147" s="446"/>
      <c r="AZ147" s="446"/>
      <c r="BA147" s="446"/>
      <c r="BB147" s="446"/>
      <c r="BC147" s="446"/>
      <c r="BD147" s="446"/>
      <c r="BE147" s="452">
        <f t="shared" ref="BE147:BE148" si="350">ROUND(AX147*$BE$2,2)+ROUND(AX147*$BE$1,2)</f>
        <v>9.999999999999995E-3</v>
      </c>
      <c r="BF147" s="442"/>
      <c r="BG147" s="442"/>
      <c r="BH147" s="442"/>
      <c r="BI147" s="442"/>
      <c r="BJ147" s="442">
        <f>ROUND((W147*$BF$2)+$BE147-BC147,2)</f>
        <v>0.01</v>
      </c>
      <c r="BK147" s="508"/>
      <c r="BL147" s="508"/>
      <c r="BM147" s="450">
        <f t="shared" si="338"/>
        <v>0</v>
      </c>
      <c r="BN147" s="450">
        <f t="shared" si="338"/>
        <v>0</v>
      </c>
      <c r="BO147" s="450">
        <f t="shared" si="338"/>
        <v>0</v>
      </c>
      <c r="BP147" s="450">
        <f t="shared" si="338"/>
        <v>0</v>
      </c>
      <c r="BQ147" s="450">
        <f t="shared" si="338"/>
        <v>0</v>
      </c>
      <c r="BR147" s="508"/>
      <c r="BS147" s="442">
        <f t="shared" si="339"/>
        <v>0</v>
      </c>
      <c r="BT147" s="442">
        <f t="shared" si="339"/>
        <v>0</v>
      </c>
      <c r="BU147" s="442">
        <f t="shared" si="339"/>
        <v>0</v>
      </c>
      <c r="BV147" s="442">
        <f t="shared" si="339"/>
        <v>0</v>
      </c>
      <c r="BW147" s="442">
        <f>BQ147-BC147</f>
        <v>0</v>
      </c>
      <c r="BX147" s="441"/>
      <c r="BY147" s="441"/>
      <c r="BZ147" s="441"/>
      <c r="CA147" s="441"/>
      <c r="CB147" s="441"/>
    </row>
    <row r="148" spans="2:85">
      <c r="B148" s="18"/>
      <c r="C148" s="18"/>
      <c r="D148" s="714"/>
      <c r="E148" s="717">
        <f>E143+'Area Lts'!E100-E147</f>
        <v>0</v>
      </c>
      <c r="F148" s="18"/>
      <c r="G148" s="18"/>
      <c r="H148" s="247"/>
      <c r="I148" s="508" t="s">
        <v>409</v>
      </c>
      <c r="J148" s="508" t="s">
        <v>108</v>
      </c>
      <c r="K148" s="443" t="s">
        <v>667</v>
      </c>
      <c r="L148" s="445" t="s">
        <v>669</v>
      </c>
      <c r="M148" s="444">
        <f t="shared" si="335"/>
        <v>0</v>
      </c>
      <c r="N148" s="444">
        <f t="shared" si="335"/>
        <v>0</v>
      </c>
      <c r="O148" s="444">
        <f t="shared" si="335"/>
        <v>0</v>
      </c>
      <c r="P148" s="444">
        <f t="shared" si="335"/>
        <v>0</v>
      </c>
      <c r="Q148" s="444">
        <f t="shared" si="335"/>
        <v>0</v>
      </c>
      <c r="R148" s="444">
        <f t="shared" si="336"/>
        <v>1</v>
      </c>
      <c r="S148" s="470">
        <v>0</v>
      </c>
      <c r="T148" s="720"/>
      <c r="U148" s="720">
        <v>0</v>
      </c>
      <c r="V148" s="720">
        <v>0</v>
      </c>
      <c r="W148" s="720">
        <v>0</v>
      </c>
      <c r="X148" s="508"/>
      <c r="Y148" s="68">
        <f t="shared" si="340"/>
        <v>0</v>
      </c>
      <c r="Z148" s="68">
        <f t="shared" si="341"/>
        <v>0</v>
      </c>
      <c r="AA148" s="68">
        <f t="shared" si="342"/>
        <v>0</v>
      </c>
      <c r="AB148" s="68">
        <f t="shared" si="343"/>
        <v>0</v>
      </c>
      <c r="AC148" s="68">
        <f t="shared" si="344"/>
        <v>0</v>
      </c>
      <c r="AD148" s="508"/>
      <c r="AE148" s="444">
        <f t="shared" si="334"/>
        <v>0</v>
      </c>
      <c r="AF148" s="444">
        <f t="shared" si="334"/>
        <v>0</v>
      </c>
      <c r="AG148" s="444">
        <f t="shared" si="334"/>
        <v>0</v>
      </c>
      <c r="AH148" s="444">
        <f t="shared" si="334"/>
        <v>0</v>
      </c>
      <c r="AI148" s="444">
        <f t="shared" si="334"/>
        <v>0</v>
      </c>
      <c r="AJ148" s="508"/>
      <c r="AK148" s="449">
        <f>ROUND(S148*(1+AK$1),2)</f>
        <v>0</v>
      </c>
      <c r="AL148" s="449"/>
      <c r="AM148" s="449">
        <f t="shared" si="337"/>
        <v>0</v>
      </c>
      <c r="AN148" s="449">
        <f t="shared" si="337"/>
        <v>0</v>
      </c>
      <c r="AO148" s="483">
        <f t="shared" si="337"/>
        <v>0</v>
      </c>
      <c r="AP148" s="508"/>
      <c r="AQ148" s="68">
        <f t="shared" si="345"/>
        <v>0</v>
      </c>
      <c r="AR148" s="68">
        <f t="shared" si="346"/>
        <v>0</v>
      </c>
      <c r="AS148" s="68">
        <f t="shared" si="347"/>
        <v>0</v>
      </c>
      <c r="AT148" s="68">
        <f t="shared" si="348"/>
        <v>0</v>
      </c>
      <c r="AU148" s="68">
        <f t="shared" si="349"/>
        <v>0</v>
      </c>
      <c r="AV148" s="508"/>
      <c r="AX148" s="454">
        <v>9</v>
      </c>
      <c r="AY148" s="446"/>
      <c r="AZ148" s="446"/>
      <c r="BA148" s="446"/>
      <c r="BB148" s="446"/>
      <c r="BC148" s="446"/>
      <c r="BD148" s="446"/>
      <c r="BE148" s="452">
        <f t="shared" si="350"/>
        <v>2.0000000000000004E-2</v>
      </c>
      <c r="BF148" s="442"/>
      <c r="BG148" s="442"/>
      <c r="BH148" s="442"/>
      <c r="BI148" s="442"/>
      <c r="BJ148" s="442">
        <f>ROUND((W148*$BF$2)+$BE148-BC148,2)</f>
        <v>0.02</v>
      </c>
      <c r="BK148" s="508"/>
      <c r="BL148" s="508"/>
      <c r="BM148" s="450">
        <f t="shared" si="338"/>
        <v>0</v>
      </c>
      <c r="BN148" s="450">
        <f t="shared" si="338"/>
        <v>0</v>
      </c>
      <c r="BO148" s="450">
        <f t="shared" si="338"/>
        <v>0</v>
      </c>
      <c r="BP148" s="450">
        <f t="shared" si="338"/>
        <v>0</v>
      </c>
      <c r="BQ148" s="450">
        <f t="shared" si="338"/>
        <v>0</v>
      </c>
      <c r="BR148" s="508"/>
      <c r="BS148" s="442">
        <f t="shared" si="339"/>
        <v>0</v>
      </c>
      <c r="BT148" s="442">
        <f t="shared" si="339"/>
        <v>0</v>
      </c>
      <c r="BU148" s="442">
        <f t="shared" si="339"/>
        <v>0</v>
      </c>
      <c r="BV148" s="442">
        <f t="shared" si="339"/>
        <v>0</v>
      </c>
      <c r="BW148" s="442">
        <f t="shared" si="339"/>
        <v>0</v>
      </c>
    </row>
    <row r="149" spans="2:85">
      <c r="T149" s="647"/>
      <c r="U149" s="647"/>
      <c r="V149" s="647"/>
      <c r="W149" s="647"/>
      <c r="AL149" s="494"/>
      <c r="AM149" s="494"/>
      <c r="AN149" s="494"/>
      <c r="AO149" s="494"/>
    </row>
    <row r="150" spans="2:85">
      <c r="T150" s="647"/>
      <c r="U150" s="647"/>
      <c r="V150" s="647"/>
      <c r="W150" s="647"/>
      <c r="BX150" s="508"/>
      <c r="BY150" s="508"/>
      <c r="BZ150" s="508"/>
      <c r="CA150" s="508"/>
      <c r="CB150" s="508"/>
      <c r="CC150" s="508"/>
      <c r="CD150" s="508"/>
      <c r="CE150" s="508"/>
      <c r="CF150" s="508"/>
      <c r="CG150" s="508"/>
    </row>
    <row r="151" spans="2:85">
      <c r="I151" s="380" t="s">
        <v>609</v>
      </c>
      <c r="J151" s="480" t="s">
        <v>86</v>
      </c>
      <c r="K151" s="443" t="s">
        <v>534</v>
      </c>
      <c r="L151" s="445" t="s">
        <v>539</v>
      </c>
      <c r="M151" s="444">
        <f t="shared" ref="M151:Q154" si="351">SUMIF($G:$G,TEXT(M$3,"000")&amp;TEXT($L151,"000"),$E:$E)</f>
        <v>0</v>
      </c>
      <c r="N151" s="444">
        <f t="shared" si="351"/>
        <v>0</v>
      </c>
      <c r="O151" s="444">
        <f t="shared" si="351"/>
        <v>0</v>
      </c>
      <c r="P151" s="444">
        <f t="shared" si="351"/>
        <v>0</v>
      </c>
      <c r="Q151" s="444">
        <f t="shared" si="351"/>
        <v>0</v>
      </c>
      <c r="R151" s="444">
        <f t="shared" si="336"/>
        <v>1</v>
      </c>
      <c r="S151" s="470">
        <v>0</v>
      </c>
      <c r="T151" s="720">
        <v>107.62</v>
      </c>
      <c r="U151" s="720">
        <v>0</v>
      </c>
      <c r="V151" s="720">
        <v>0</v>
      </c>
      <c r="W151" s="720">
        <v>0</v>
      </c>
      <c r="X151" s="480"/>
      <c r="Y151" s="480"/>
      <c r="Z151" s="480"/>
      <c r="AA151" s="480"/>
      <c r="AB151" s="480"/>
      <c r="AC151" s="480"/>
      <c r="AD151" s="480"/>
      <c r="AE151" s="444">
        <f>SUMIF($G:$G,TEXT(AE$3,"000")&amp;TEXT($L151,"000"),$E:$E)</f>
        <v>0</v>
      </c>
      <c r="AF151" s="444">
        <f>SUMIF($G:$G,TEXT(AF$3,"000")&amp;TEXT($L151,"000"),$E:$E)</f>
        <v>0</v>
      </c>
      <c r="AG151" s="444">
        <f>SUMIF($G:$G,TEXT(AG$3,"000")&amp;TEXT($L151,"000"),$E:$E)</f>
        <v>0</v>
      </c>
      <c r="AH151" s="444">
        <f>SUMIF($G:$G,TEXT(AH$3,"000")&amp;TEXT($L151,"000"),$E:$E)</f>
        <v>0</v>
      </c>
      <c r="AI151" s="444">
        <f>SUMIF($G:$G,TEXT(AI$3,"000")&amp;TEXT($L151,"000"),$E:$E)</f>
        <v>0</v>
      </c>
      <c r="AJ151" s="480"/>
      <c r="AK151" s="449">
        <f>ROUND(S151*(1+AK$1),2)</f>
        <v>0</v>
      </c>
      <c r="AL151" s="449">
        <f>AL98</f>
        <v>118.64</v>
      </c>
      <c r="AM151" s="449">
        <f t="shared" ref="AM151:AO154" si="352">ROUND(U151*(1+AM$1),2)</f>
        <v>0</v>
      </c>
      <c r="AN151" s="449">
        <f t="shared" si="352"/>
        <v>0</v>
      </c>
      <c r="AO151" s="449">
        <f t="shared" si="352"/>
        <v>0</v>
      </c>
      <c r="AP151" s="480"/>
      <c r="AX151" s="390">
        <v>166</v>
      </c>
      <c r="AZ151">
        <v>93.85</v>
      </c>
      <c r="BE151" s="452">
        <f>ROUND(AX151*$BE$2,2)+ROUND(AX151*$BE$1,2)</f>
        <v>0.3600000000000001</v>
      </c>
      <c r="BF151" s="442"/>
      <c r="BG151" s="442">
        <f>ROUND((T151*$BF$2)+$BE151-AZ151,2)</f>
        <v>15.76</v>
      </c>
      <c r="BX151" s="508"/>
      <c r="BY151" s="508"/>
      <c r="BZ151" s="508"/>
      <c r="CA151" s="508"/>
      <c r="CB151" s="508"/>
      <c r="CC151" s="508"/>
      <c r="CD151" s="508"/>
      <c r="CE151" s="508"/>
      <c r="CF151" s="508"/>
      <c r="CG151" s="508"/>
    </row>
    <row r="152" spans="2:85">
      <c r="I152" s="718" t="s">
        <v>101</v>
      </c>
      <c r="J152" s="718" t="s">
        <v>85</v>
      </c>
      <c r="K152" s="57">
        <v>7000</v>
      </c>
      <c r="L152" s="91">
        <v>411</v>
      </c>
      <c r="M152" s="67">
        <f t="shared" si="351"/>
        <v>0</v>
      </c>
      <c r="N152" s="67">
        <f t="shared" si="351"/>
        <v>0</v>
      </c>
      <c r="O152" s="67">
        <f t="shared" si="351"/>
        <v>0</v>
      </c>
      <c r="P152" s="67">
        <f t="shared" si="351"/>
        <v>0</v>
      </c>
      <c r="Q152" s="67">
        <f t="shared" si="351"/>
        <v>0</v>
      </c>
      <c r="R152" s="444">
        <f>IF(SUM(M152:Q152)&gt;0,0,1)</f>
        <v>1</v>
      </c>
      <c r="S152" s="470">
        <v>17.48</v>
      </c>
      <c r="T152" s="720">
        <v>0</v>
      </c>
      <c r="U152" s="720">
        <v>0</v>
      </c>
      <c r="V152" s="720">
        <v>0</v>
      </c>
      <c r="W152" s="720">
        <v>0</v>
      </c>
      <c r="Y152" s="68">
        <f t="shared" ref="Y152:AC154" si="353">IF(AND(M152&lt;&gt;0,S152=0),#VALUE!,M152*S152)</f>
        <v>0</v>
      </c>
      <c r="Z152" s="68">
        <f t="shared" si="353"/>
        <v>0</v>
      </c>
      <c r="AA152" s="68">
        <f t="shared" si="353"/>
        <v>0</v>
      </c>
      <c r="AB152" s="68">
        <f t="shared" si="353"/>
        <v>0</v>
      </c>
      <c r="AC152" s="68">
        <f t="shared" si="353"/>
        <v>0</v>
      </c>
      <c r="AE152" s="67">
        <f t="shared" ref="AE152:AI154" si="354">M152</f>
        <v>0</v>
      </c>
      <c r="AF152" s="67">
        <f t="shared" si="354"/>
        <v>0</v>
      </c>
      <c r="AG152" s="67">
        <f t="shared" si="354"/>
        <v>0</v>
      </c>
      <c r="AH152" s="67">
        <f t="shared" si="354"/>
        <v>0</v>
      </c>
      <c r="AI152" s="67">
        <f t="shared" si="354"/>
        <v>0</v>
      </c>
      <c r="AK152" s="449">
        <f>ROUND(S152*(1+AK$1),2)</f>
        <v>17.48</v>
      </c>
      <c r="AL152" s="449">
        <f>ROUND(T152*(1+AL$1),2)</f>
        <v>0</v>
      </c>
      <c r="AM152" s="449">
        <f t="shared" si="352"/>
        <v>0</v>
      </c>
      <c r="AN152" s="449">
        <f t="shared" si="352"/>
        <v>0</v>
      </c>
      <c r="AO152" s="449">
        <f t="shared" si="352"/>
        <v>0</v>
      </c>
      <c r="AQ152" s="68">
        <f t="shared" ref="AQ152:AU154" si="355">IF(AND(AE152&lt;&gt;0,AK152=0),#VALUE!,AE152*AK152)</f>
        <v>0</v>
      </c>
      <c r="AR152" s="68">
        <f t="shared" si="355"/>
        <v>0</v>
      </c>
      <c r="AS152" s="68">
        <f t="shared" si="355"/>
        <v>0</v>
      </c>
      <c r="AT152" s="68">
        <f t="shared" si="355"/>
        <v>0</v>
      </c>
      <c r="AU152" s="68">
        <f t="shared" si="355"/>
        <v>0</v>
      </c>
      <c r="AV152" s="68">
        <f>SUM(AR152)-SUM(Z152)</f>
        <v>0</v>
      </c>
      <c r="AW152" s="400" t="e">
        <f>AV152/Z152</f>
        <v>#DIV/0!</v>
      </c>
      <c r="AX152" s="392">
        <v>80</v>
      </c>
      <c r="AY152" s="446">
        <v>17.25</v>
      </c>
      <c r="AZ152" s="446"/>
      <c r="BA152" s="446"/>
      <c r="BB152" s="446"/>
      <c r="BC152" s="446"/>
      <c r="BD152" s="131"/>
      <c r="BE152" s="452">
        <f>ROUND(AX152*$BE$2,2)+ROUND(AX152*$BE$1,2)</f>
        <v>0.18000000000000016</v>
      </c>
      <c r="BF152" s="52">
        <f>ROUND((S152*$BF$2)+$BE152-AY152,2)</f>
        <v>0.67</v>
      </c>
      <c r="BG152" s="52"/>
      <c r="BH152" s="52"/>
      <c r="BI152" s="52"/>
      <c r="BJ152" s="52"/>
      <c r="BM152" s="249">
        <f t="shared" ref="BM152:BQ154" si="356">AK152*$BM$1</f>
        <v>17.743948</v>
      </c>
      <c r="BN152" s="249">
        <f t="shared" si="356"/>
        <v>0</v>
      </c>
      <c r="BO152" s="249">
        <f t="shared" si="356"/>
        <v>0</v>
      </c>
      <c r="BP152" s="249">
        <f t="shared" si="356"/>
        <v>0</v>
      </c>
      <c r="BQ152" s="249">
        <f t="shared" si="356"/>
        <v>0</v>
      </c>
      <c r="BS152" s="52">
        <f t="shared" ref="BS152:BW154" si="357">BM152-AY152</f>
        <v>0.49394799999999961</v>
      </c>
      <c r="BT152" s="52">
        <f t="shared" si="357"/>
        <v>0</v>
      </c>
      <c r="BU152" s="52">
        <f t="shared" si="357"/>
        <v>0</v>
      </c>
      <c r="BV152" s="52">
        <f t="shared" si="357"/>
        <v>0</v>
      </c>
      <c r="BW152" s="52">
        <f t="shared" si="357"/>
        <v>0</v>
      </c>
    </row>
    <row r="153" spans="2:85">
      <c r="I153" s="718" t="s">
        <v>101</v>
      </c>
      <c r="J153" s="718" t="s">
        <v>85</v>
      </c>
      <c r="K153" s="57">
        <v>20000</v>
      </c>
      <c r="L153" s="91">
        <v>611</v>
      </c>
      <c r="M153" s="67">
        <f t="shared" si="351"/>
        <v>0</v>
      </c>
      <c r="N153" s="67">
        <f t="shared" si="351"/>
        <v>0</v>
      </c>
      <c r="O153" s="67">
        <f t="shared" si="351"/>
        <v>0</v>
      </c>
      <c r="P153" s="67">
        <f t="shared" si="351"/>
        <v>0</v>
      </c>
      <c r="Q153" s="67">
        <f t="shared" si="351"/>
        <v>0</v>
      </c>
      <c r="R153" s="444">
        <f>IF(SUM(M153:Q153)&gt;0,0,1)</f>
        <v>1</v>
      </c>
      <c r="S153" s="470">
        <v>30.26</v>
      </c>
      <c r="T153" s="720">
        <v>0</v>
      </c>
      <c r="U153" s="720">
        <v>0</v>
      </c>
      <c r="V153" s="720">
        <v>0</v>
      </c>
      <c r="W153" s="720">
        <v>0</v>
      </c>
      <c r="Y153" s="68">
        <f t="shared" si="353"/>
        <v>0</v>
      </c>
      <c r="Z153" s="68">
        <f t="shared" si="353"/>
        <v>0</v>
      </c>
      <c r="AA153" s="68">
        <f t="shared" si="353"/>
        <v>0</v>
      </c>
      <c r="AB153" s="68">
        <f t="shared" si="353"/>
        <v>0</v>
      </c>
      <c r="AC153" s="68">
        <f t="shared" si="353"/>
        <v>0</v>
      </c>
      <c r="AE153" s="67">
        <f t="shared" si="354"/>
        <v>0</v>
      </c>
      <c r="AF153" s="67">
        <f t="shared" si="354"/>
        <v>0</v>
      </c>
      <c r="AG153" s="67">
        <f t="shared" si="354"/>
        <v>0</v>
      </c>
      <c r="AH153" s="67">
        <f t="shared" si="354"/>
        <v>0</v>
      </c>
      <c r="AI153" s="67">
        <f t="shared" si="354"/>
        <v>0</v>
      </c>
      <c r="AK153" s="449">
        <f>ROUND(S153*(1+AK$1),2)</f>
        <v>30.26</v>
      </c>
      <c r="AL153" s="449">
        <f>ROUND(T153*(1+AL$1),2)</f>
        <v>0</v>
      </c>
      <c r="AM153" s="449">
        <f t="shared" si="352"/>
        <v>0</v>
      </c>
      <c r="AN153" s="449">
        <f t="shared" si="352"/>
        <v>0</v>
      </c>
      <c r="AO153" s="449">
        <f t="shared" si="352"/>
        <v>0</v>
      </c>
      <c r="AQ153" s="68">
        <f t="shared" si="355"/>
        <v>0</v>
      </c>
      <c r="AR153" s="68">
        <f t="shared" si="355"/>
        <v>0</v>
      </c>
      <c r="AS153" s="68">
        <f t="shared" si="355"/>
        <v>0</v>
      </c>
      <c r="AT153" s="68">
        <f t="shared" si="355"/>
        <v>0</v>
      </c>
      <c r="AU153" s="68">
        <f t="shared" si="355"/>
        <v>0</v>
      </c>
      <c r="AV153" s="68">
        <f>SUM(AR153)-SUM(Z153)</f>
        <v>0</v>
      </c>
      <c r="AW153" s="400" t="e">
        <f>AV153/Z153</f>
        <v>#DIV/0!</v>
      </c>
      <c r="AX153" s="392">
        <v>182</v>
      </c>
      <c r="AY153" s="446">
        <v>29.87</v>
      </c>
      <c r="AZ153" s="446"/>
      <c r="BA153" s="446"/>
      <c r="BB153" s="446"/>
      <c r="BC153" s="446"/>
      <c r="BD153" s="131"/>
      <c r="BE153" s="452">
        <f>ROUND(AX153*$BE$2,2)+ROUND(AX153*$BE$1,2)</f>
        <v>0.41000000000000014</v>
      </c>
      <c r="BF153" s="52">
        <f>ROUND((S153*$BF$2)+$BE153-AY153,2)</f>
        <v>1.26</v>
      </c>
      <c r="BG153" s="52"/>
      <c r="BH153" s="52"/>
      <c r="BI153" s="52"/>
      <c r="BJ153" s="52"/>
      <c r="BM153" s="249">
        <f t="shared" si="356"/>
        <v>30.716925999999997</v>
      </c>
      <c r="BN153" s="249">
        <f t="shared" si="356"/>
        <v>0</v>
      </c>
      <c r="BO153" s="249">
        <f t="shared" si="356"/>
        <v>0</v>
      </c>
      <c r="BP153" s="249">
        <f t="shared" si="356"/>
        <v>0</v>
      </c>
      <c r="BQ153" s="249">
        <f t="shared" si="356"/>
        <v>0</v>
      </c>
      <c r="BS153" s="52">
        <f t="shared" si="357"/>
        <v>0.84692599999999629</v>
      </c>
      <c r="BT153" s="52">
        <f t="shared" si="357"/>
        <v>0</v>
      </c>
      <c r="BU153" s="52">
        <f t="shared" si="357"/>
        <v>0</v>
      </c>
      <c r="BV153" s="52">
        <f t="shared" si="357"/>
        <v>0</v>
      </c>
      <c r="BW153" s="52">
        <f t="shared" si="357"/>
        <v>0</v>
      </c>
    </row>
    <row r="154" spans="2:85">
      <c r="I154" s="718" t="s">
        <v>105</v>
      </c>
      <c r="J154" s="718" t="s">
        <v>672</v>
      </c>
      <c r="K154" s="443" t="s">
        <v>124</v>
      </c>
      <c r="L154" s="445">
        <v>831</v>
      </c>
      <c r="M154" s="444">
        <f t="shared" si="351"/>
        <v>0</v>
      </c>
      <c r="N154" s="444">
        <f t="shared" si="351"/>
        <v>0</v>
      </c>
      <c r="O154" s="444">
        <f t="shared" si="351"/>
        <v>0</v>
      </c>
      <c r="P154" s="444">
        <f t="shared" si="351"/>
        <v>0</v>
      </c>
      <c r="Q154" s="444">
        <f t="shared" si="351"/>
        <v>0</v>
      </c>
      <c r="R154" s="444">
        <f>IF(SUM(M154:Q154)&gt;0,0,1)</f>
        <v>1</v>
      </c>
      <c r="S154" s="470">
        <v>0</v>
      </c>
      <c r="T154" s="720">
        <v>32.119999999999997</v>
      </c>
      <c r="U154" s="720">
        <v>24.1</v>
      </c>
      <c r="V154" s="720">
        <v>0</v>
      </c>
      <c r="W154" s="720">
        <v>0</v>
      </c>
      <c r="X154" s="622"/>
      <c r="Y154" s="68">
        <f t="shared" si="353"/>
        <v>0</v>
      </c>
      <c r="Z154" s="68">
        <f t="shared" si="353"/>
        <v>0</v>
      </c>
      <c r="AA154" s="68">
        <f t="shared" si="353"/>
        <v>0</v>
      </c>
      <c r="AB154" s="68">
        <f t="shared" si="353"/>
        <v>0</v>
      </c>
      <c r="AC154" s="68">
        <f t="shared" si="353"/>
        <v>0</v>
      </c>
      <c r="AD154" s="622"/>
      <c r="AE154" s="444">
        <f t="shared" si="354"/>
        <v>0</v>
      </c>
      <c r="AF154" s="444">
        <f t="shared" si="354"/>
        <v>0</v>
      </c>
      <c r="AG154" s="444">
        <f t="shared" si="354"/>
        <v>0</v>
      </c>
      <c r="AH154" s="444">
        <f t="shared" si="354"/>
        <v>0</v>
      </c>
      <c r="AI154" s="444">
        <f t="shared" si="354"/>
        <v>0</v>
      </c>
      <c r="AJ154" s="622"/>
      <c r="AK154" s="449">
        <f>ROUND(S154*(1+AK$1),2)</f>
        <v>0</v>
      </c>
      <c r="AL154" s="449">
        <f>ROUND(T154*(1+AL$1),2)</f>
        <v>35.409999999999997</v>
      </c>
      <c r="AM154" s="449">
        <f t="shared" si="352"/>
        <v>26.73</v>
      </c>
      <c r="AN154" s="449">
        <f t="shared" si="352"/>
        <v>0</v>
      </c>
      <c r="AO154" s="449">
        <f t="shared" si="352"/>
        <v>0</v>
      </c>
      <c r="AP154" s="622"/>
      <c r="AQ154" s="68">
        <f t="shared" si="355"/>
        <v>0</v>
      </c>
      <c r="AR154" s="68">
        <f t="shared" si="355"/>
        <v>0</v>
      </c>
      <c r="AS154" s="68">
        <f t="shared" si="355"/>
        <v>0</v>
      </c>
      <c r="AT154" s="68">
        <f t="shared" si="355"/>
        <v>0</v>
      </c>
      <c r="AU154" s="68">
        <f t="shared" si="355"/>
        <v>0</v>
      </c>
      <c r="AV154" s="68">
        <f>SUM(AQ154:AU154)-SUM(Y154:AC154)</f>
        <v>0</v>
      </c>
      <c r="AW154" s="68"/>
      <c r="AX154" s="454">
        <v>169</v>
      </c>
      <c r="AY154" s="446"/>
      <c r="AZ154" s="446"/>
      <c r="BA154" s="446">
        <v>22.17</v>
      </c>
      <c r="BB154" s="446"/>
      <c r="BC154" s="446"/>
      <c r="BD154" s="446"/>
      <c r="BE154" s="452">
        <f>ROUND(AX154*$BE$2,2)+ROUND(AX154*$BE$1,2)</f>
        <v>0.37999999999999989</v>
      </c>
      <c r="BF154" s="442"/>
      <c r="BG154" s="442">
        <f>ROUND((T154*$BF$2)+$BE154-AZ154,2)</f>
        <v>32.99</v>
      </c>
      <c r="BH154" s="442">
        <f>ROUND((U154*$BF$2)+$BE154-BA154,2)</f>
        <v>2.67</v>
      </c>
      <c r="BI154" s="442"/>
      <c r="BJ154" s="442"/>
      <c r="BK154" s="622"/>
      <c r="BL154" s="622"/>
      <c r="BM154" s="450">
        <f t="shared" si="356"/>
        <v>0</v>
      </c>
      <c r="BN154" s="450">
        <f t="shared" si="356"/>
        <v>35.944690999999992</v>
      </c>
      <c r="BO154" s="450">
        <f t="shared" si="356"/>
        <v>27.133622999999996</v>
      </c>
      <c r="BP154" s="450">
        <f t="shared" si="356"/>
        <v>0</v>
      </c>
      <c r="BQ154" s="450">
        <f t="shared" si="356"/>
        <v>0</v>
      </c>
      <c r="BR154" s="622"/>
      <c r="BS154" s="442">
        <f t="shared" si="357"/>
        <v>0</v>
      </c>
      <c r="BT154" s="442">
        <f t="shared" si="357"/>
        <v>35.944690999999992</v>
      </c>
      <c r="BU154" s="442">
        <f t="shared" si="357"/>
        <v>4.9636229999999948</v>
      </c>
      <c r="BV154" s="442">
        <f t="shared" si="357"/>
        <v>0</v>
      </c>
      <c r="BW154" s="442">
        <f t="shared" si="357"/>
        <v>0</v>
      </c>
    </row>
    <row r="155" spans="2:85">
      <c r="T155" s="647"/>
      <c r="U155" s="647"/>
      <c r="V155" s="647"/>
      <c r="W155" s="647"/>
    </row>
    <row r="156" spans="2:85">
      <c r="T156" s="647"/>
      <c r="U156" s="647"/>
      <c r="V156" s="647"/>
      <c r="W156" s="647"/>
    </row>
    <row r="157" spans="2:85">
      <c r="T157" s="647"/>
      <c r="U157" s="647"/>
      <c r="V157" s="647"/>
      <c r="W157" s="647"/>
    </row>
    <row r="158" spans="2:85">
      <c r="T158" s="647"/>
      <c r="U158" s="647"/>
      <c r="V158" s="647"/>
      <c r="W158" s="647"/>
      <c r="AL158" s="494"/>
      <c r="AM158" s="494"/>
      <c r="AN158" s="494"/>
      <c r="AO158" s="494"/>
    </row>
    <row r="159" spans="2:85">
      <c r="T159" s="647"/>
      <c r="U159" s="647"/>
      <c r="V159" s="647"/>
      <c r="W159" s="647"/>
      <c r="AL159" s="494"/>
      <c r="AM159" s="494"/>
      <c r="AN159" s="494"/>
      <c r="AO159" s="494"/>
    </row>
    <row r="160" spans="2:85">
      <c r="T160" s="647"/>
      <c r="U160" s="647"/>
      <c r="V160" s="647"/>
      <c r="W160" s="647"/>
      <c r="AL160" s="494"/>
      <c r="AM160" s="494"/>
      <c r="AN160" s="494"/>
      <c r="AO160" s="494"/>
    </row>
    <row r="161" spans="20:41">
      <c r="T161" s="647"/>
      <c r="U161" s="647"/>
      <c r="V161" s="647"/>
      <c r="W161" s="647"/>
      <c r="AL161" s="494"/>
      <c r="AM161" s="494"/>
      <c r="AN161" s="494"/>
      <c r="AO161" s="494"/>
    </row>
    <row r="162" spans="20:41">
      <c r="T162" s="647"/>
      <c r="U162" s="647"/>
      <c r="V162" s="647"/>
      <c r="W162" s="647"/>
      <c r="AL162" s="494"/>
      <c r="AM162" s="494"/>
      <c r="AN162" s="494"/>
      <c r="AO162" s="494"/>
    </row>
    <row r="163" spans="20:41">
      <c r="T163" s="647"/>
      <c r="U163" s="647"/>
      <c r="V163" s="647"/>
      <c r="W163" s="647"/>
      <c r="AL163" s="494"/>
      <c r="AM163" s="494"/>
      <c r="AN163" s="494"/>
      <c r="AO163" s="494"/>
    </row>
    <row r="164" spans="20:41">
      <c r="T164" s="647"/>
      <c r="U164" s="647"/>
      <c r="V164" s="647"/>
      <c r="W164" s="647"/>
      <c r="AL164" s="494"/>
      <c r="AM164" s="494"/>
      <c r="AN164" s="494"/>
      <c r="AO164" s="494"/>
    </row>
    <row r="165" spans="20:41">
      <c r="T165" s="647"/>
      <c r="U165" s="647"/>
      <c r="V165" s="647"/>
      <c r="W165" s="647"/>
      <c r="AL165" s="494"/>
      <c r="AM165" s="494"/>
      <c r="AN165" s="494"/>
      <c r="AO165" s="494"/>
    </row>
    <row r="166" spans="20:41">
      <c r="T166" s="647"/>
      <c r="U166" s="647"/>
      <c r="V166" s="647"/>
      <c r="W166" s="647"/>
      <c r="AL166" s="494"/>
      <c r="AM166" s="494"/>
      <c r="AN166" s="494"/>
      <c r="AO166" s="494"/>
    </row>
    <row r="167" spans="20:41">
      <c r="T167" s="647"/>
      <c r="U167" s="647"/>
      <c r="V167" s="647"/>
      <c r="W167" s="647"/>
      <c r="AL167" s="494"/>
      <c r="AM167" s="494"/>
      <c r="AN167" s="494"/>
      <c r="AO167" s="494"/>
    </row>
    <row r="168" spans="20:41">
      <c r="T168" s="647"/>
      <c r="U168" s="647"/>
      <c r="V168" s="647"/>
      <c r="W168" s="647"/>
      <c r="AL168" s="494"/>
      <c r="AM168" s="494"/>
      <c r="AN168" s="494"/>
      <c r="AO168" s="494"/>
    </row>
    <row r="169" spans="20:41">
      <c r="T169" s="647"/>
      <c r="U169" s="647"/>
      <c r="V169" s="647"/>
      <c r="W169" s="647"/>
      <c r="AL169" s="494"/>
      <c r="AM169" s="494"/>
      <c r="AN169" s="494"/>
      <c r="AO169" s="494"/>
    </row>
    <row r="170" spans="20:41">
      <c r="T170" s="647"/>
      <c r="U170" s="647"/>
      <c r="V170" s="647"/>
      <c r="W170" s="647"/>
      <c r="AL170" s="494"/>
      <c r="AM170" s="494"/>
      <c r="AN170" s="494"/>
      <c r="AO170" s="494"/>
    </row>
    <row r="171" spans="20:41">
      <c r="T171" s="647"/>
      <c r="U171" s="647"/>
      <c r="V171" s="647"/>
      <c r="W171" s="647"/>
      <c r="AL171" s="494"/>
      <c r="AM171" s="494"/>
      <c r="AN171" s="494"/>
      <c r="AO171" s="494"/>
    </row>
    <row r="172" spans="20:41">
      <c r="T172" s="647"/>
      <c r="U172" s="647"/>
      <c r="V172" s="647"/>
      <c r="W172" s="647"/>
      <c r="AL172" s="494"/>
      <c r="AM172" s="494"/>
      <c r="AN172" s="494"/>
      <c r="AO172" s="494"/>
    </row>
    <row r="173" spans="20:41">
      <c r="T173" s="647"/>
      <c r="U173" s="647"/>
      <c r="V173" s="647"/>
      <c r="W173" s="647"/>
      <c r="AL173" s="494"/>
      <c r="AM173" s="494"/>
      <c r="AN173" s="494"/>
      <c r="AO173" s="494"/>
    </row>
    <row r="174" spans="20:41">
      <c r="T174" s="647"/>
      <c r="U174" s="647"/>
      <c r="V174" s="647"/>
      <c r="W174" s="647"/>
      <c r="AL174" s="494"/>
      <c r="AM174" s="494"/>
      <c r="AN174" s="494"/>
      <c r="AO174" s="494"/>
    </row>
    <row r="175" spans="20:41">
      <c r="T175" s="647"/>
      <c r="U175" s="647"/>
      <c r="V175" s="647"/>
      <c r="W175" s="647"/>
      <c r="AL175" s="494"/>
      <c r="AM175" s="494"/>
      <c r="AN175" s="494"/>
      <c r="AO175" s="494"/>
    </row>
    <row r="176" spans="20:41">
      <c r="T176" s="647"/>
      <c r="U176" s="647"/>
      <c r="V176" s="647"/>
      <c r="W176" s="647"/>
      <c r="AL176" s="494"/>
      <c r="AM176" s="494"/>
      <c r="AN176" s="494"/>
      <c r="AO176" s="494"/>
    </row>
    <row r="177" spans="38:41">
      <c r="AL177" s="494"/>
      <c r="AM177" s="494"/>
      <c r="AN177" s="494"/>
      <c r="AO177" s="494"/>
    </row>
    <row r="178" spans="38:41">
      <c r="AL178" s="494"/>
      <c r="AM178" s="494"/>
      <c r="AN178" s="494"/>
      <c r="AO178" s="494"/>
    </row>
    <row r="179" spans="38:41">
      <c r="AL179" s="494"/>
      <c r="AM179" s="494"/>
      <c r="AN179" s="494"/>
      <c r="AO179" s="494"/>
    </row>
    <row r="180" spans="38:41">
      <c r="AL180" s="494"/>
      <c r="AM180" s="494"/>
      <c r="AN180" s="494"/>
      <c r="AO180" s="494"/>
    </row>
    <row r="181" spans="38:41">
      <c r="AL181" s="494"/>
      <c r="AM181" s="494"/>
      <c r="AN181" s="494"/>
      <c r="AO181" s="494"/>
    </row>
    <row r="182" spans="38:41">
      <c r="AL182" s="494"/>
      <c r="AM182" s="494"/>
      <c r="AN182" s="494"/>
      <c r="AO182" s="494"/>
    </row>
    <row r="183" spans="38:41">
      <c r="AL183" s="494"/>
      <c r="AM183" s="494"/>
      <c r="AN183" s="494"/>
      <c r="AO183" s="494"/>
    </row>
    <row r="184" spans="38:41">
      <c r="AL184" s="494"/>
      <c r="AM184" s="494"/>
      <c r="AN184" s="494"/>
      <c r="AO184" s="494"/>
    </row>
    <row r="185" spans="38:41">
      <c r="AL185" s="494"/>
      <c r="AM185" s="494"/>
      <c r="AN185" s="494"/>
      <c r="AO185" s="494"/>
    </row>
    <row r="186" spans="38:41">
      <c r="AL186" s="494"/>
      <c r="AM186" s="494"/>
      <c r="AN186" s="494"/>
      <c r="AO186" s="494"/>
    </row>
    <row r="187" spans="38:41">
      <c r="AL187" s="494"/>
      <c r="AM187" s="494"/>
      <c r="AN187" s="494"/>
      <c r="AO187" s="494"/>
    </row>
    <row r="188" spans="38:41">
      <c r="AL188" s="494"/>
      <c r="AM188" s="494"/>
      <c r="AN188" s="494"/>
      <c r="AO188" s="494"/>
    </row>
    <row r="189" spans="38:41">
      <c r="AL189" s="494"/>
      <c r="AM189" s="494"/>
      <c r="AN189" s="494"/>
      <c r="AO189" s="494"/>
    </row>
    <row r="190" spans="38:41">
      <c r="AL190" s="494"/>
      <c r="AM190" s="494"/>
      <c r="AN190" s="494"/>
      <c r="AO190" s="494"/>
    </row>
    <row r="191" spans="38:41">
      <c r="AL191" s="494"/>
      <c r="AM191" s="494"/>
      <c r="AN191" s="494"/>
      <c r="AO191" s="494"/>
    </row>
    <row r="192" spans="38:41">
      <c r="AL192" s="494"/>
      <c r="AM192" s="494"/>
      <c r="AN192" s="494"/>
      <c r="AO192" s="494"/>
    </row>
    <row r="193" spans="38:41">
      <c r="AL193" s="494"/>
      <c r="AM193" s="494"/>
      <c r="AN193" s="494"/>
      <c r="AO193" s="494"/>
    </row>
    <row r="194" spans="38:41">
      <c r="AL194" s="494"/>
      <c r="AM194" s="494"/>
      <c r="AN194" s="494"/>
      <c r="AO194" s="494"/>
    </row>
    <row r="195" spans="38:41">
      <c r="AL195" s="494"/>
      <c r="AM195" s="494"/>
      <c r="AN195" s="494"/>
      <c r="AO195" s="494"/>
    </row>
    <row r="196" spans="38:41">
      <c r="AL196" s="494"/>
      <c r="AM196" s="494"/>
      <c r="AN196" s="494"/>
      <c r="AO196" s="494"/>
    </row>
    <row r="197" spans="38:41">
      <c r="AL197" s="494"/>
      <c r="AM197" s="494"/>
      <c r="AN197" s="494"/>
      <c r="AO197" s="494"/>
    </row>
    <row r="198" spans="38:41">
      <c r="AL198" s="494"/>
      <c r="AM198" s="494"/>
      <c r="AN198" s="494"/>
      <c r="AO198" s="494"/>
    </row>
    <row r="199" spans="38:41">
      <c r="AL199" s="494"/>
      <c r="AM199" s="494"/>
      <c r="AN199" s="494"/>
      <c r="AO199" s="494"/>
    </row>
    <row r="200" spans="38:41">
      <c r="AL200" s="494"/>
      <c r="AM200" s="494"/>
      <c r="AN200" s="494"/>
      <c r="AO200" s="494"/>
    </row>
    <row r="201" spans="38:41">
      <c r="AL201" s="494"/>
      <c r="AM201" s="494"/>
      <c r="AN201" s="494"/>
      <c r="AO201" s="494"/>
    </row>
    <row r="202" spans="38:41">
      <c r="AL202" s="494"/>
      <c r="AM202" s="494"/>
      <c r="AN202" s="494"/>
      <c r="AO202" s="494"/>
    </row>
    <row r="203" spans="38:41">
      <c r="AL203" s="494"/>
      <c r="AM203" s="494"/>
      <c r="AN203" s="494"/>
      <c r="AO203" s="494"/>
    </row>
    <row r="204" spans="38:41">
      <c r="AL204" s="494"/>
      <c r="AM204" s="494"/>
      <c r="AN204" s="494"/>
      <c r="AO204" s="494"/>
    </row>
    <row r="205" spans="38:41">
      <c r="AL205" s="494"/>
      <c r="AM205" s="494"/>
      <c r="AN205" s="494"/>
      <c r="AO205" s="494"/>
    </row>
    <row r="206" spans="38:41">
      <c r="AL206" s="494"/>
      <c r="AM206" s="494"/>
      <c r="AN206" s="494"/>
      <c r="AO206" s="494"/>
    </row>
    <row r="207" spans="38:41">
      <c r="AL207" s="494"/>
      <c r="AM207" s="494"/>
      <c r="AN207" s="494"/>
      <c r="AO207" s="494"/>
    </row>
    <row r="208" spans="38:41">
      <c r="AL208" s="494"/>
      <c r="AM208" s="494"/>
      <c r="AN208" s="494"/>
      <c r="AO208" s="494"/>
    </row>
    <row r="209" spans="38:41">
      <c r="AL209" s="494"/>
      <c r="AM209" s="494"/>
      <c r="AN209" s="494"/>
      <c r="AO209" s="494"/>
    </row>
    <row r="210" spans="38:41">
      <c r="AL210" s="494"/>
      <c r="AM210" s="494"/>
      <c r="AN210" s="494"/>
      <c r="AO210" s="494"/>
    </row>
    <row r="211" spans="38:41">
      <c r="AL211" s="494"/>
      <c r="AM211" s="494"/>
      <c r="AN211" s="494"/>
      <c r="AO211" s="494"/>
    </row>
    <row r="212" spans="38:41">
      <c r="AL212" s="494"/>
      <c r="AM212" s="494"/>
      <c r="AN212" s="494"/>
      <c r="AO212" s="494"/>
    </row>
  </sheetData>
  <phoneticPr fontId="15" type="noConversion"/>
  <conditionalFormatting sqref="AI107 Q107">
    <cfRule type="cellIs" dxfId="22" priority="37" stopIfTrue="1" operator="notEqual">
      <formula>0</formula>
    </cfRule>
  </conditionalFormatting>
  <conditionalFormatting sqref="R110 R57:R59 R35:R55 R62:R78 R112:R148 R26:R32 R151:R154 R80:R104">
    <cfRule type="cellIs" dxfId="21" priority="38" stopIfTrue="1" operator="equal">
      <formula>1</formula>
    </cfRule>
  </conditionalFormatting>
  <conditionalFormatting sqref="BF144:BJ146 BF77:BJ77 BF93:BJ94 BF98:BJ110 BF123:BJ127 BF129:BJ142 BF112:BJ121 BF57:BJ59 BF35:BJ55 BF62:BJ75 BF26:BJ32 BF80:BJ89 BF152:BJ154">
    <cfRule type="expression" dxfId="20" priority="39" stopIfTrue="1">
      <formula>ABS(BF26)&gt;0.005</formula>
    </cfRule>
  </conditionalFormatting>
  <conditionalFormatting sqref="BF122:BJ122">
    <cfRule type="expression" dxfId="19" priority="34" stopIfTrue="1">
      <formula>ABS(BF122)&gt;0.005</formula>
    </cfRule>
  </conditionalFormatting>
  <conditionalFormatting sqref="BF76:BJ76">
    <cfRule type="expression" dxfId="18" priority="32" stopIfTrue="1">
      <formula>ABS(BF76)&gt;0.005</formula>
    </cfRule>
  </conditionalFormatting>
  <conditionalFormatting sqref="BF78:BJ78">
    <cfRule type="expression" dxfId="17" priority="30" stopIfTrue="1">
      <formula>ABS(BF78)&gt;0.005</formula>
    </cfRule>
  </conditionalFormatting>
  <conditionalFormatting sqref="BF96:BJ97">
    <cfRule type="expression" dxfId="16" priority="27" stopIfTrue="1">
      <formula>ABS(BF96)&gt;0.005</formula>
    </cfRule>
  </conditionalFormatting>
  <conditionalFormatting sqref="BF97:BG97">
    <cfRule type="expression" dxfId="15" priority="25" stopIfTrue="1">
      <formula>ABS(BF97)&gt;0.005</formula>
    </cfRule>
  </conditionalFormatting>
  <conditionalFormatting sqref="BF151:BG151">
    <cfRule type="expression" dxfId="14" priority="24" stopIfTrue="1">
      <formula>ABS(BF151)&gt;0.005</formula>
    </cfRule>
  </conditionalFormatting>
  <conditionalFormatting sqref="BF147:BJ147">
    <cfRule type="expression" dxfId="13" priority="23" stopIfTrue="1">
      <formula>ABS(BF147)&gt;0.005</formula>
    </cfRule>
  </conditionalFormatting>
  <conditionalFormatting sqref="BF148:BJ148">
    <cfRule type="expression" dxfId="12" priority="21" stopIfTrue="1">
      <formula>ABS(BF148)&gt;0.005</formula>
    </cfRule>
  </conditionalFormatting>
  <conditionalFormatting sqref="R4:R25">
    <cfRule type="cellIs" dxfId="11" priority="13" stopIfTrue="1" operator="equal">
      <formula>1</formula>
    </cfRule>
  </conditionalFormatting>
  <conditionalFormatting sqref="BF4:BJ25">
    <cfRule type="expression" dxfId="10" priority="12" stopIfTrue="1">
      <formula>ABS(BF4)&gt;0.005</formula>
    </cfRule>
  </conditionalFormatting>
  <conditionalFormatting sqref="R56">
    <cfRule type="cellIs" dxfId="9" priority="11" stopIfTrue="1" operator="equal">
      <formula>1</formula>
    </cfRule>
  </conditionalFormatting>
  <conditionalFormatting sqref="BF56:BJ56">
    <cfRule type="expression" dxfId="8" priority="10" stopIfTrue="1">
      <formula>ABS(BF56)&gt;0.005</formula>
    </cfRule>
  </conditionalFormatting>
  <conditionalFormatting sqref="R79">
    <cfRule type="cellIs" dxfId="7" priority="9" stopIfTrue="1" operator="equal">
      <formula>1</formula>
    </cfRule>
  </conditionalFormatting>
  <conditionalFormatting sqref="BF79:BJ79">
    <cfRule type="expression" dxfId="6" priority="8" stopIfTrue="1">
      <formula>ABS(BF79)&gt;0.005</formula>
    </cfRule>
  </conditionalFormatting>
  <conditionalFormatting sqref="R33:R34">
    <cfRule type="cellIs" dxfId="5" priority="6" stopIfTrue="1" operator="equal">
      <formula>1</formula>
    </cfRule>
  </conditionalFormatting>
  <conditionalFormatting sqref="BF34:BJ34">
    <cfRule type="expression" dxfId="4" priority="7" stopIfTrue="1">
      <formula>ABS(BF34)&gt;0.005</formula>
    </cfRule>
  </conditionalFormatting>
  <conditionalFormatting sqref="BF33:BJ33">
    <cfRule type="expression" dxfId="3" priority="5" stopIfTrue="1">
      <formula>ABS(BF33)&gt;0.005</formula>
    </cfRule>
  </conditionalFormatting>
  <conditionalFormatting sqref="R60:R61">
    <cfRule type="cellIs" dxfId="2" priority="3" stopIfTrue="1" operator="equal">
      <formula>1</formula>
    </cfRule>
  </conditionalFormatting>
  <conditionalFormatting sqref="BF60:BJ61">
    <cfRule type="expression" dxfId="1" priority="4" stopIfTrue="1">
      <formula>ABS(BF60)&gt;0.005</formula>
    </cfRule>
  </conditionalFormatting>
  <pageMargins left="0.19" right="0" top="0.5" bottom="0" header="0.5" footer="0"/>
  <pageSetup scale="37"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CO104"/>
  <sheetViews>
    <sheetView showGridLines="0" zoomScale="85" zoomScaleNormal="85" workbookViewId="0">
      <pane xSplit="12" ySplit="3" topLeftCell="M4" activePane="bottomRight" state="frozen"/>
      <selection activeCell="G27" sqref="G27"/>
      <selection pane="topRight" activeCell="G27" sqref="G27"/>
      <selection pane="bottomLeft" activeCell="G27" sqref="G27"/>
      <selection pane="bottomRight" activeCell="P4" sqref="P4:Q53"/>
    </sheetView>
  </sheetViews>
  <sheetFormatPr defaultRowHeight="12.75"/>
  <cols>
    <col min="1" max="1" width="12.5703125" customWidth="1"/>
    <col min="2" max="2" width="6.7109375" style="34" customWidth="1"/>
    <col min="3" max="3" width="7.5703125" style="34" customWidth="1"/>
    <col min="4" max="4" width="10.42578125" style="34" customWidth="1"/>
    <col min="5" max="5" width="12.28515625" customWidth="1"/>
    <col min="6" max="6" width="1.7109375" customWidth="1"/>
    <col min="7" max="7" width="9.7109375" customWidth="1"/>
    <col min="8" max="8" width="29.42578125" customWidth="1"/>
    <col min="9" max="9" width="15.7109375" customWidth="1"/>
    <col min="10" max="10" width="26.7109375" customWidth="1"/>
    <col min="11" max="11" width="6.7109375" style="57" customWidth="1"/>
    <col min="12" max="12" width="7.5703125" customWidth="1"/>
    <col min="13" max="14" width="6.7109375" customWidth="1"/>
    <col min="15" max="15" width="2.7109375" customWidth="1"/>
    <col min="16" max="17" width="7.5703125" bestFit="1" customWidth="1"/>
    <col min="18" max="18" width="2.7109375" customWidth="1"/>
    <col min="19" max="19" width="10.28515625" customWidth="1"/>
    <col min="20" max="20" width="9.42578125" customWidth="1"/>
    <col min="21" max="21" width="8.28515625" style="338" customWidth="1"/>
    <col min="22" max="23" width="6.7109375" style="338" customWidth="1"/>
    <col min="24" max="24" width="25.28515625" style="338" customWidth="1"/>
    <col min="25" max="25" width="8.28515625" style="338" customWidth="1"/>
    <col min="26" max="26" width="10.7109375" customWidth="1"/>
    <col min="27" max="27" width="6.7109375" customWidth="1"/>
    <col min="28" max="28" width="6.42578125" customWidth="1"/>
    <col min="29" max="29" width="7" customWidth="1"/>
    <col min="30" max="31" width="7.5703125" bestFit="1" customWidth="1"/>
    <col min="32" max="32" width="2.7109375" customWidth="1"/>
    <col min="33" max="33" width="13.7109375" bestFit="1" customWidth="1"/>
    <col min="34" max="34" width="9.42578125" bestFit="1" customWidth="1"/>
  </cols>
  <sheetData>
    <row r="1" spans="1:34" ht="18">
      <c r="A1" s="59" t="s">
        <v>129</v>
      </c>
      <c r="I1" s="536" t="s">
        <v>711</v>
      </c>
      <c r="S1" s="77" t="s">
        <v>130</v>
      </c>
      <c r="T1" s="53"/>
      <c r="U1" s="53"/>
      <c r="Y1" s="53"/>
      <c r="Z1" s="80">
        <f>SL_RateIncr</f>
        <v>0</v>
      </c>
      <c r="AC1" s="57" t="s">
        <v>383</v>
      </c>
      <c r="AD1" s="196">
        <f>'Lighting summary'!L16</f>
        <v>0.10924839067575776</v>
      </c>
      <c r="AE1" s="173"/>
      <c r="AG1" s="77" t="s">
        <v>130</v>
      </c>
      <c r="AH1" s="53"/>
    </row>
    <row r="2" spans="1:34" ht="15">
      <c r="A2" s="61" t="str">
        <f>'St Lts'!A2</f>
        <v>MDM-10069 Report as of 10/1/2023</v>
      </c>
      <c r="M2" s="62" t="s">
        <v>345</v>
      </c>
      <c r="N2" s="63"/>
      <c r="P2" s="667" t="s">
        <v>131</v>
      </c>
      <c r="Q2" s="668"/>
      <c r="S2" s="62" t="s">
        <v>132</v>
      </c>
      <c r="T2" s="63"/>
      <c r="U2" s="63"/>
      <c r="V2" s="62" t="s">
        <v>345</v>
      </c>
      <c r="W2" s="63"/>
      <c r="Y2" s="341"/>
      <c r="AA2" s="62" t="s">
        <v>104</v>
      </c>
      <c r="AB2" s="63"/>
      <c r="AD2" s="62" t="s">
        <v>180</v>
      </c>
      <c r="AE2" s="63"/>
      <c r="AG2" s="62" t="s">
        <v>181</v>
      </c>
      <c r="AH2" s="63"/>
    </row>
    <row r="3" spans="1:34" ht="12.75" customHeight="1" thickBot="1">
      <c r="A3" s="61"/>
      <c r="I3" s="64" t="s">
        <v>92</v>
      </c>
      <c r="J3" s="64" t="s">
        <v>93</v>
      </c>
      <c r="K3" s="65" t="s">
        <v>94</v>
      </c>
      <c r="L3" s="64" t="s">
        <v>95</v>
      </c>
      <c r="M3" s="66" t="s">
        <v>133</v>
      </c>
      <c r="N3" s="66" t="s">
        <v>134</v>
      </c>
      <c r="P3" s="66" t="s">
        <v>133</v>
      </c>
      <c r="Q3" s="66" t="s">
        <v>134</v>
      </c>
      <c r="S3" s="66" t="s">
        <v>133</v>
      </c>
      <c r="T3" s="66" t="s">
        <v>134</v>
      </c>
      <c r="U3" s="66"/>
      <c r="V3" s="66" t="s">
        <v>133</v>
      </c>
      <c r="W3" s="66" t="s">
        <v>134</v>
      </c>
      <c r="Y3" s="342"/>
      <c r="AA3" s="66" t="s">
        <v>133</v>
      </c>
      <c r="AB3" s="66" t="s">
        <v>134</v>
      </c>
      <c r="AD3" s="66" t="s">
        <v>133</v>
      </c>
      <c r="AE3" s="66" t="s">
        <v>134</v>
      </c>
      <c r="AG3" s="66" t="s">
        <v>133</v>
      </c>
      <c r="AH3" s="66" t="s">
        <v>134</v>
      </c>
    </row>
    <row r="4" spans="1:34" ht="12.75" customHeight="1">
      <c r="B4" s="680"/>
      <c r="C4" s="680"/>
      <c r="D4" s="680"/>
      <c r="E4" s="647"/>
      <c r="F4" s="647"/>
      <c r="G4" s="647"/>
      <c r="H4" s="431"/>
      <c r="I4" t="s">
        <v>88</v>
      </c>
      <c r="J4" t="s">
        <v>135</v>
      </c>
      <c r="K4" s="57" t="s">
        <v>120</v>
      </c>
      <c r="L4" s="91" t="s">
        <v>136</v>
      </c>
      <c r="M4" s="67">
        <f t="shared" ref="M4:N23" si="0">SUMIF($G:$G,TEXT(M$3,"000")&amp;TEXT($L4,"000"),$E:$E)</f>
        <v>88</v>
      </c>
      <c r="N4" s="67">
        <f t="shared" si="0"/>
        <v>2</v>
      </c>
      <c r="P4" s="453">
        <v>26.98</v>
      </c>
      <c r="Q4" s="280">
        <v>26.98</v>
      </c>
      <c r="S4" s="68">
        <f>IF(AND(M4&lt;&gt;0,P4=0),#VALUE!,M4*P4)</f>
        <v>2374.2400000000002</v>
      </c>
      <c r="T4" s="68">
        <f t="shared" ref="T4:T53" si="1">IF(AND(N4&lt;&gt;0,Q4=0),#VALUE!,N4*Q4)</f>
        <v>53.96</v>
      </c>
      <c r="U4" s="68"/>
      <c r="V4" s="67">
        <f t="shared" ref="V4:W23" si="2">SUMIF($G:$G,TEXT(V$3,"000")&amp;TEXT($L4,"000"),$E:$E)</f>
        <v>88</v>
      </c>
      <c r="W4" s="67">
        <f t="shared" si="2"/>
        <v>2</v>
      </c>
      <c r="Y4" s="68"/>
      <c r="AA4" s="67">
        <f t="shared" ref="AA4:AB53" si="3">M4</f>
        <v>88</v>
      </c>
      <c r="AB4" s="67">
        <f t="shared" si="3"/>
        <v>2</v>
      </c>
      <c r="AD4" s="607">
        <f>ROUND(P4*(1+AD$1),2)</f>
        <v>29.93</v>
      </c>
      <c r="AE4" s="79">
        <f>AD4</f>
        <v>29.93</v>
      </c>
      <c r="AG4" s="68">
        <f t="shared" ref="AG4:AG53" si="4">IF(AND(AA4&lt;&gt;0,AD4=0),#VALUE!,AA4*AD4)</f>
        <v>2633.84</v>
      </c>
      <c r="AH4" s="68">
        <f t="shared" ref="AH4:AH53" si="5">IF(AND(AB4&lt;&gt;0,AE4=0),#VALUE!,AB4*AE4)</f>
        <v>59.86</v>
      </c>
    </row>
    <row r="5" spans="1:34" ht="12.75" customHeight="1">
      <c r="B5" s="677" t="s">
        <v>102</v>
      </c>
      <c r="C5" s="677" t="s">
        <v>95</v>
      </c>
      <c r="D5" s="677" t="s">
        <v>103</v>
      </c>
      <c r="E5" s="678" t="s">
        <v>104</v>
      </c>
      <c r="F5" s="679"/>
      <c r="G5" s="679"/>
      <c r="H5" s="431"/>
      <c r="I5" t="s">
        <v>88</v>
      </c>
      <c r="J5" t="s">
        <v>137</v>
      </c>
      <c r="K5" s="57" t="s">
        <v>111</v>
      </c>
      <c r="L5" s="91" t="s">
        <v>138</v>
      </c>
      <c r="M5" s="67">
        <f t="shared" si="0"/>
        <v>8</v>
      </c>
      <c r="N5" s="67">
        <f t="shared" si="0"/>
        <v>2</v>
      </c>
      <c r="P5" s="453">
        <v>35.24</v>
      </c>
      <c r="Q5" s="280">
        <v>35.24</v>
      </c>
      <c r="S5" s="68">
        <f t="shared" ref="S5:S53" si="6">IF(AND(M5&lt;&gt;0,P5=0),#VALUE!,M5*P5)</f>
        <v>281.92</v>
      </c>
      <c r="T5" s="68">
        <f t="shared" si="1"/>
        <v>70.48</v>
      </c>
      <c r="U5" s="68"/>
      <c r="V5" s="67">
        <f t="shared" si="2"/>
        <v>8</v>
      </c>
      <c r="W5" s="67">
        <f t="shared" si="2"/>
        <v>2</v>
      </c>
      <c r="Y5" s="68"/>
      <c r="AA5" s="67">
        <f t="shared" si="3"/>
        <v>8</v>
      </c>
      <c r="AB5" s="67">
        <f t="shared" si="3"/>
        <v>2</v>
      </c>
      <c r="AD5" s="607">
        <f t="shared" ref="AD5:AD28" si="7">ROUND(P5*(1+AD$1),2)</f>
        <v>39.090000000000003</v>
      </c>
      <c r="AE5" s="79">
        <f t="shared" ref="AE5:AE29" si="8">AD5</f>
        <v>39.090000000000003</v>
      </c>
      <c r="AG5" s="68">
        <f t="shared" si="4"/>
        <v>312.72000000000003</v>
      </c>
      <c r="AH5" s="68">
        <f t="shared" si="5"/>
        <v>78.180000000000007</v>
      </c>
    </row>
    <row r="6" spans="1:34" ht="12.75" customHeight="1">
      <c r="B6" s="680"/>
      <c r="C6" s="680"/>
      <c r="D6" s="680"/>
      <c r="E6" s="647"/>
      <c r="F6" s="647"/>
      <c r="G6" s="647"/>
      <c r="I6" t="s">
        <v>88</v>
      </c>
      <c r="J6" t="s">
        <v>142</v>
      </c>
      <c r="K6" s="57" t="s">
        <v>111</v>
      </c>
      <c r="L6" s="91" t="s">
        <v>141</v>
      </c>
      <c r="M6" s="67">
        <f t="shared" si="0"/>
        <v>268</v>
      </c>
      <c r="N6" s="67">
        <f t="shared" si="0"/>
        <v>262</v>
      </c>
      <c r="P6" s="453">
        <v>16.73</v>
      </c>
      <c r="Q6" s="280">
        <v>16.73</v>
      </c>
      <c r="S6" s="68">
        <f t="shared" si="6"/>
        <v>4483.6400000000003</v>
      </c>
      <c r="T6" s="68">
        <f>IF(AND(N6&lt;&gt;0,Q6=0),#VALUE!,N6*Q6)</f>
        <v>4383.26</v>
      </c>
      <c r="U6" s="68"/>
      <c r="V6" s="67">
        <f t="shared" si="2"/>
        <v>268</v>
      </c>
      <c r="W6" s="67">
        <f t="shared" si="2"/>
        <v>262</v>
      </c>
      <c r="Y6" s="68"/>
      <c r="AA6" s="67">
        <f t="shared" si="3"/>
        <v>268</v>
      </c>
      <c r="AB6" s="67">
        <f t="shared" si="3"/>
        <v>262</v>
      </c>
      <c r="AD6" s="607">
        <f t="shared" si="7"/>
        <v>18.559999999999999</v>
      </c>
      <c r="AE6" s="79">
        <f t="shared" si="8"/>
        <v>18.559999999999999</v>
      </c>
      <c r="AG6" s="68">
        <f t="shared" si="4"/>
        <v>4974.08</v>
      </c>
      <c r="AH6" s="68">
        <f t="shared" si="5"/>
        <v>4862.7199999999993</v>
      </c>
    </row>
    <row r="7" spans="1:34" ht="12.75" customHeight="1">
      <c r="B7" s="680" t="s">
        <v>139</v>
      </c>
      <c r="C7" s="681" t="s">
        <v>133</v>
      </c>
      <c r="D7" s="687" t="s">
        <v>654</v>
      </c>
      <c r="E7" s="629">
        <v>7</v>
      </c>
      <c r="F7" s="647"/>
      <c r="G7" s="683" t="str">
        <f>IF(OR(ISBLANK(C7),ISBLANK(D7)),"",TEXT(C7,"000")&amp;TEXT(D7,"000"))</f>
        <v>047HAAL</v>
      </c>
      <c r="H7" s="649"/>
      <c r="I7" t="s">
        <v>88</v>
      </c>
      <c r="J7" t="s">
        <v>142</v>
      </c>
      <c r="K7" s="57" t="s">
        <v>119</v>
      </c>
      <c r="L7" s="91" t="s">
        <v>143</v>
      </c>
      <c r="M7" s="67">
        <f t="shared" si="0"/>
        <v>679</v>
      </c>
      <c r="N7" s="67">
        <f t="shared" si="0"/>
        <v>318</v>
      </c>
      <c r="P7" s="453">
        <v>23.75</v>
      </c>
      <c r="Q7" s="280">
        <v>23.75</v>
      </c>
      <c r="S7" s="68">
        <f>IF(AND(M7&lt;&gt;0,P7=0),#VALUE!,M7*P7)</f>
        <v>16126.25</v>
      </c>
      <c r="T7" s="68">
        <f t="shared" si="1"/>
        <v>7552.5</v>
      </c>
      <c r="U7" s="68"/>
      <c r="V7" s="67">
        <f t="shared" si="2"/>
        <v>679</v>
      </c>
      <c r="W7" s="67">
        <f t="shared" si="2"/>
        <v>318</v>
      </c>
      <c r="Y7" s="68"/>
      <c r="AA7" s="67">
        <f t="shared" si="3"/>
        <v>679</v>
      </c>
      <c r="AB7" s="67">
        <f t="shared" si="3"/>
        <v>318</v>
      </c>
      <c r="AD7" s="607">
        <f t="shared" si="7"/>
        <v>26.34</v>
      </c>
      <c r="AE7" s="79">
        <f t="shared" si="8"/>
        <v>26.34</v>
      </c>
      <c r="AG7" s="68">
        <f t="shared" si="4"/>
        <v>17884.86</v>
      </c>
      <c r="AH7" s="68">
        <f t="shared" si="5"/>
        <v>8376.1200000000008</v>
      </c>
    </row>
    <row r="8" spans="1:34" ht="12.75" customHeight="1">
      <c r="A8" s="488"/>
      <c r="B8" s="680" t="s">
        <v>139</v>
      </c>
      <c r="C8" s="681" t="s">
        <v>133</v>
      </c>
      <c r="D8" s="687" t="s">
        <v>527</v>
      </c>
      <c r="E8" s="629">
        <v>1</v>
      </c>
      <c r="F8" s="683"/>
      <c r="G8" s="683" t="str">
        <f>IF(OR(ISBLANK(C8),ISBLANK(D8)),"",TEXT(C8,"000")&amp;TEXT(D8,"000"))</f>
        <v>047HAGL</v>
      </c>
      <c r="H8" s="689"/>
      <c r="I8" t="s">
        <v>88</v>
      </c>
      <c r="J8" t="s">
        <v>142</v>
      </c>
      <c r="K8" s="57" t="s">
        <v>124</v>
      </c>
      <c r="L8" s="91" t="s">
        <v>144</v>
      </c>
      <c r="M8" s="67">
        <f t="shared" si="0"/>
        <v>90</v>
      </c>
      <c r="N8" s="67">
        <f t="shared" si="0"/>
        <v>7</v>
      </c>
      <c r="P8" s="453">
        <v>32.81</v>
      </c>
      <c r="Q8" s="280">
        <v>32.81</v>
      </c>
      <c r="S8" s="68">
        <f t="shared" si="6"/>
        <v>2952.9</v>
      </c>
      <c r="T8" s="68">
        <f t="shared" si="1"/>
        <v>229.67000000000002</v>
      </c>
      <c r="U8" s="68"/>
      <c r="V8" s="67">
        <f t="shared" si="2"/>
        <v>90</v>
      </c>
      <c r="W8" s="67">
        <f t="shared" si="2"/>
        <v>7</v>
      </c>
      <c r="Y8" s="68"/>
      <c r="AA8" s="67">
        <f t="shared" si="3"/>
        <v>90</v>
      </c>
      <c r="AB8" s="67">
        <f t="shared" si="3"/>
        <v>7</v>
      </c>
      <c r="AD8" s="607">
        <f>ROUND(P8*(1+AD$1),2)</f>
        <v>36.39</v>
      </c>
      <c r="AE8" s="79">
        <f t="shared" si="8"/>
        <v>36.39</v>
      </c>
      <c r="AG8" s="68">
        <f t="shared" si="4"/>
        <v>3275.1</v>
      </c>
      <c r="AH8" s="68">
        <f t="shared" si="5"/>
        <v>254.73000000000002</v>
      </c>
    </row>
    <row r="9" spans="1:34">
      <c r="B9" s="680" t="s">
        <v>139</v>
      </c>
      <c r="C9" s="681" t="s">
        <v>133</v>
      </c>
      <c r="D9" s="680" t="s">
        <v>136</v>
      </c>
      <c r="E9" s="629">
        <v>88</v>
      </c>
      <c r="F9" s="683"/>
      <c r="G9" s="683" t="str">
        <f>IF(OR(ISBLANK(C9),ISBLANK(D9)),"",TEXT(C9,"000")&amp;TEXT(D9,"000"))</f>
        <v>047HAH</v>
      </c>
      <c r="H9" s="369"/>
      <c r="I9" t="s">
        <v>88</v>
      </c>
      <c r="J9" s="480" t="s">
        <v>542</v>
      </c>
      <c r="K9" s="57" t="s">
        <v>119</v>
      </c>
      <c r="L9" s="91" t="s">
        <v>145</v>
      </c>
      <c r="M9" s="67">
        <f t="shared" si="0"/>
        <v>387</v>
      </c>
      <c r="N9" s="67">
        <f t="shared" si="0"/>
        <v>150</v>
      </c>
      <c r="P9" s="453">
        <v>31.5</v>
      </c>
      <c r="Q9" s="280">
        <v>31.5</v>
      </c>
      <c r="S9" s="68">
        <f t="shared" si="6"/>
        <v>12190.5</v>
      </c>
      <c r="T9" s="68">
        <f t="shared" si="1"/>
        <v>4725</v>
      </c>
      <c r="U9" s="68"/>
      <c r="V9" s="67">
        <f t="shared" si="2"/>
        <v>387</v>
      </c>
      <c r="W9" s="67">
        <f t="shared" si="2"/>
        <v>150</v>
      </c>
      <c r="Y9" s="68"/>
      <c r="AA9" s="67">
        <f t="shared" si="3"/>
        <v>387</v>
      </c>
      <c r="AB9" s="67">
        <f t="shared" si="3"/>
        <v>150</v>
      </c>
      <c r="AD9" s="607">
        <f>AD7+AD28</f>
        <v>34.94</v>
      </c>
      <c r="AE9" s="79">
        <f t="shared" si="8"/>
        <v>34.94</v>
      </c>
      <c r="AG9" s="68">
        <f t="shared" si="4"/>
        <v>13521.779999999999</v>
      </c>
      <c r="AH9" s="68">
        <f t="shared" si="5"/>
        <v>5241</v>
      </c>
    </row>
    <row r="10" spans="1:34">
      <c r="B10" s="680" t="s">
        <v>139</v>
      </c>
      <c r="C10" s="681" t="s">
        <v>133</v>
      </c>
      <c r="D10" s="680" t="s">
        <v>138</v>
      </c>
      <c r="E10" s="629">
        <v>8</v>
      </c>
      <c r="F10" s="683"/>
      <c r="G10" s="683" t="str">
        <f>IF(OR(ISBLANK(C10),ISBLANK(D10)),"",TEXT(C10,"000")&amp;TEXT(D10,"000"))</f>
        <v>047HAI</v>
      </c>
      <c r="H10" s="369"/>
      <c r="I10" t="s">
        <v>88</v>
      </c>
      <c r="J10" s="480" t="s">
        <v>542</v>
      </c>
      <c r="K10" s="57" t="s">
        <v>111</v>
      </c>
      <c r="L10" s="91" t="s">
        <v>147</v>
      </c>
      <c r="M10" s="67">
        <f t="shared" si="0"/>
        <v>187</v>
      </c>
      <c r="N10" s="67">
        <f t="shared" si="0"/>
        <v>117</v>
      </c>
      <c r="P10" s="453">
        <v>24.48</v>
      </c>
      <c r="Q10" s="280">
        <v>24.48</v>
      </c>
      <c r="S10" s="68">
        <f t="shared" si="6"/>
        <v>4577.76</v>
      </c>
      <c r="T10" s="68">
        <f t="shared" si="1"/>
        <v>2864.16</v>
      </c>
      <c r="U10" s="68"/>
      <c r="V10" s="67">
        <f t="shared" si="2"/>
        <v>187</v>
      </c>
      <c r="W10" s="67">
        <f t="shared" si="2"/>
        <v>117</v>
      </c>
      <c r="Y10" s="68"/>
      <c r="AA10" s="67">
        <f t="shared" si="3"/>
        <v>187</v>
      </c>
      <c r="AB10" s="67">
        <f t="shared" si="3"/>
        <v>117</v>
      </c>
      <c r="AD10" s="607">
        <f>AD6+AD28</f>
        <v>27.159999999999997</v>
      </c>
      <c r="AE10" s="79">
        <f t="shared" si="8"/>
        <v>27.159999999999997</v>
      </c>
      <c r="AG10" s="68">
        <f t="shared" si="4"/>
        <v>5078.9199999999992</v>
      </c>
      <c r="AH10" s="68">
        <f t="shared" si="5"/>
        <v>3177.72</v>
      </c>
    </row>
    <row r="11" spans="1:34">
      <c r="B11" s="680" t="s">
        <v>139</v>
      </c>
      <c r="C11" s="681" t="s">
        <v>133</v>
      </c>
      <c r="D11" s="680" t="s">
        <v>141</v>
      </c>
      <c r="E11" s="629">
        <v>268</v>
      </c>
      <c r="F11" s="683"/>
      <c r="G11" s="683" t="str">
        <f t="shared" ref="G11:G33" si="9">IF(OR(ISBLANK(C11),ISBLANK(D11)),"",TEXT(C11,"000")&amp;TEXT(D11,"000"))</f>
        <v>047HPA</v>
      </c>
      <c r="H11" s="369"/>
      <c r="I11" t="s">
        <v>88</v>
      </c>
      <c r="J11" s="480" t="s">
        <v>542</v>
      </c>
      <c r="K11" s="57" t="s">
        <v>124</v>
      </c>
      <c r="L11" s="91" t="s">
        <v>148</v>
      </c>
      <c r="M11" s="67">
        <f t="shared" si="0"/>
        <v>30</v>
      </c>
      <c r="N11" s="67">
        <f t="shared" si="0"/>
        <v>3</v>
      </c>
      <c r="P11" s="453">
        <v>40.56</v>
      </c>
      <c r="Q11" s="280">
        <v>40.56</v>
      </c>
      <c r="S11" s="68">
        <f t="shared" si="6"/>
        <v>1216.8000000000002</v>
      </c>
      <c r="T11" s="68">
        <f t="shared" si="1"/>
        <v>121.68</v>
      </c>
      <c r="U11" s="68"/>
      <c r="V11" s="67">
        <f t="shared" si="2"/>
        <v>30</v>
      </c>
      <c r="W11" s="67">
        <f t="shared" si="2"/>
        <v>3</v>
      </c>
      <c r="Y11" s="68"/>
      <c r="AA11" s="67">
        <f t="shared" si="3"/>
        <v>30</v>
      </c>
      <c r="AB11" s="67">
        <f t="shared" si="3"/>
        <v>3</v>
      </c>
      <c r="AD11" s="607">
        <f>AD8+AD28</f>
        <v>44.99</v>
      </c>
      <c r="AE11" s="79">
        <f t="shared" si="8"/>
        <v>44.99</v>
      </c>
      <c r="AG11" s="68">
        <f t="shared" si="4"/>
        <v>1349.7</v>
      </c>
      <c r="AH11" s="68">
        <f t="shared" si="5"/>
        <v>134.97</v>
      </c>
    </row>
    <row r="12" spans="1:34">
      <c r="B12" s="680" t="s">
        <v>139</v>
      </c>
      <c r="C12" s="681" t="s">
        <v>133</v>
      </c>
      <c r="D12" s="680" t="s">
        <v>143</v>
      </c>
      <c r="E12" s="629">
        <v>679</v>
      </c>
      <c r="F12" s="683"/>
      <c r="G12" s="683" t="str">
        <f t="shared" si="9"/>
        <v>047HPB</v>
      </c>
      <c r="H12" s="369"/>
      <c r="I12" t="s">
        <v>88</v>
      </c>
      <c r="J12" s="480" t="s">
        <v>647</v>
      </c>
      <c r="K12" s="57" t="s">
        <v>119</v>
      </c>
      <c r="L12" s="91" t="s">
        <v>149</v>
      </c>
      <c r="M12" s="67">
        <f t="shared" si="0"/>
        <v>32</v>
      </c>
      <c r="N12" s="67">
        <f t="shared" si="0"/>
        <v>7</v>
      </c>
      <c r="P12" s="453">
        <v>41.43</v>
      </c>
      <c r="Q12" s="280">
        <v>41.43</v>
      </c>
      <c r="S12" s="68">
        <f t="shared" si="6"/>
        <v>1325.76</v>
      </c>
      <c r="T12" s="68">
        <f t="shared" si="1"/>
        <v>290.01</v>
      </c>
      <c r="U12" s="68"/>
      <c r="V12" s="67">
        <f t="shared" si="2"/>
        <v>32</v>
      </c>
      <c r="W12" s="67">
        <f t="shared" si="2"/>
        <v>7</v>
      </c>
      <c r="Y12" s="68"/>
      <c r="AA12" s="67">
        <f t="shared" si="3"/>
        <v>32</v>
      </c>
      <c r="AB12" s="67">
        <f t="shared" si="3"/>
        <v>7</v>
      </c>
      <c r="AD12" s="607">
        <f t="shared" si="7"/>
        <v>45.96</v>
      </c>
      <c r="AE12" s="79">
        <f t="shared" si="8"/>
        <v>45.96</v>
      </c>
      <c r="AG12" s="68">
        <f t="shared" si="4"/>
        <v>1470.72</v>
      </c>
      <c r="AH12" s="68">
        <f t="shared" si="5"/>
        <v>321.72000000000003</v>
      </c>
    </row>
    <row r="13" spans="1:34">
      <c r="B13" s="680" t="s">
        <v>139</v>
      </c>
      <c r="C13" s="681" t="s">
        <v>133</v>
      </c>
      <c r="D13" s="680" t="s">
        <v>144</v>
      </c>
      <c r="E13" s="629">
        <v>90</v>
      </c>
      <c r="F13" s="70"/>
      <c r="G13" s="70" t="str">
        <f t="shared" si="9"/>
        <v>047HPC</v>
      </c>
      <c r="H13" s="369"/>
      <c r="I13" t="s">
        <v>88</v>
      </c>
      <c r="J13" t="s">
        <v>151</v>
      </c>
      <c r="K13" s="57" t="s">
        <v>119</v>
      </c>
      <c r="L13" s="91" t="s">
        <v>152</v>
      </c>
      <c r="M13" s="67">
        <f t="shared" si="0"/>
        <v>2</v>
      </c>
      <c r="N13" s="67">
        <f t="shared" si="0"/>
        <v>0</v>
      </c>
      <c r="P13" s="453">
        <v>35.9</v>
      </c>
      <c r="Q13" s="280">
        <v>35.9</v>
      </c>
      <c r="S13" s="68">
        <f t="shared" si="6"/>
        <v>71.8</v>
      </c>
      <c r="T13" s="68">
        <f t="shared" si="1"/>
        <v>0</v>
      </c>
      <c r="U13" s="68"/>
      <c r="V13" s="67">
        <f t="shared" si="2"/>
        <v>2</v>
      </c>
      <c r="W13" s="67">
        <f t="shared" si="2"/>
        <v>0</v>
      </c>
      <c r="Y13" s="68"/>
      <c r="AA13" s="67">
        <f t="shared" si="3"/>
        <v>2</v>
      </c>
      <c r="AB13" s="67">
        <f t="shared" si="3"/>
        <v>0</v>
      </c>
      <c r="AD13" s="607">
        <f t="shared" si="7"/>
        <v>39.82</v>
      </c>
      <c r="AE13" s="79">
        <f t="shared" si="8"/>
        <v>39.82</v>
      </c>
      <c r="AG13" s="68">
        <f t="shared" si="4"/>
        <v>79.64</v>
      </c>
      <c r="AH13" s="68">
        <f t="shared" si="5"/>
        <v>0</v>
      </c>
    </row>
    <row r="14" spans="1:34">
      <c r="B14" s="680" t="s">
        <v>139</v>
      </c>
      <c r="C14" s="681" t="s">
        <v>133</v>
      </c>
      <c r="D14" s="680" t="s">
        <v>145</v>
      </c>
      <c r="E14" s="629">
        <v>387</v>
      </c>
      <c r="F14" s="71"/>
      <c r="G14" s="70" t="str">
        <f t="shared" si="9"/>
        <v>047HPD</v>
      </c>
      <c r="H14" s="369"/>
      <c r="I14" t="s">
        <v>88</v>
      </c>
      <c r="J14" t="s">
        <v>154</v>
      </c>
      <c r="K14" s="57" t="s">
        <v>111</v>
      </c>
      <c r="L14" s="91" t="s">
        <v>150</v>
      </c>
      <c r="M14" s="67">
        <f t="shared" si="0"/>
        <v>47</v>
      </c>
      <c r="N14" s="67">
        <f t="shared" si="0"/>
        <v>86</v>
      </c>
      <c r="P14" s="453">
        <v>24.5</v>
      </c>
      <c r="Q14" s="280">
        <v>24.5</v>
      </c>
      <c r="S14" s="68">
        <f t="shared" si="6"/>
        <v>1151.5</v>
      </c>
      <c r="T14" s="68">
        <f t="shared" si="1"/>
        <v>2107</v>
      </c>
      <c r="U14" s="68"/>
      <c r="V14" s="67">
        <f t="shared" si="2"/>
        <v>47</v>
      </c>
      <c r="W14" s="67">
        <f t="shared" si="2"/>
        <v>86</v>
      </c>
      <c r="Y14" s="68"/>
      <c r="AA14" s="67">
        <f t="shared" si="3"/>
        <v>47</v>
      </c>
      <c r="AB14" s="67">
        <f t="shared" si="3"/>
        <v>86</v>
      </c>
      <c r="AD14" s="607">
        <f t="shared" si="7"/>
        <v>27.18</v>
      </c>
      <c r="AE14" s="79">
        <f t="shared" si="8"/>
        <v>27.18</v>
      </c>
      <c r="AG14" s="68">
        <f t="shared" si="4"/>
        <v>1277.46</v>
      </c>
      <c r="AH14" s="68">
        <f t="shared" si="5"/>
        <v>2337.48</v>
      </c>
    </row>
    <row r="15" spans="1:34">
      <c r="B15" s="680" t="s">
        <v>139</v>
      </c>
      <c r="C15" s="681" t="s">
        <v>133</v>
      </c>
      <c r="D15" s="680" t="s">
        <v>147</v>
      </c>
      <c r="E15" s="629">
        <v>187</v>
      </c>
      <c r="F15" s="70"/>
      <c r="G15" s="70" t="str">
        <f t="shared" si="9"/>
        <v>047HPE</v>
      </c>
      <c r="H15" s="369"/>
      <c r="I15" t="s">
        <v>88</v>
      </c>
      <c r="J15" t="s">
        <v>156</v>
      </c>
      <c r="K15" s="57" t="s">
        <v>119</v>
      </c>
      <c r="L15" s="91" t="s">
        <v>153</v>
      </c>
      <c r="M15" s="67">
        <f t="shared" si="0"/>
        <v>12</v>
      </c>
      <c r="N15" s="67">
        <f t="shared" si="0"/>
        <v>0</v>
      </c>
      <c r="P15" s="453">
        <v>70.22</v>
      </c>
      <c r="Q15" s="280">
        <v>70.22</v>
      </c>
      <c r="S15" s="68">
        <f t="shared" si="6"/>
        <v>842.64</v>
      </c>
      <c r="T15" s="68">
        <f t="shared" si="1"/>
        <v>0</v>
      </c>
      <c r="U15" s="68"/>
      <c r="V15" s="67">
        <f t="shared" si="2"/>
        <v>12</v>
      </c>
      <c r="W15" s="67">
        <f t="shared" si="2"/>
        <v>0</v>
      </c>
      <c r="Y15" s="68"/>
      <c r="AA15" s="67">
        <f t="shared" si="3"/>
        <v>12</v>
      </c>
      <c r="AB15" s="67">
        <f t="shared" si="3"/>
        <v>0</v>
      </c>
      <c r="AD15" s="607">
        <f t="shared" si="7"/>
        <v>77.89</v>
      </c>
      <c r="AE15" s="79">
        <f t="shared" si="8"/>
        <v>77.89</v>
      </c>
      <c r="AG15" s="68">
        <f t="shared" si="4"/>
        <v>934.68000000000006</v>
      </c>
      <c r="AH15" s="68">
        <f t="shared" si="5"/>
        <v>0</v>
      </c>
    </row>
    <row r="16" spans="1:34">
      <c r="B16" s="680" t="s">
        <v>139</v>
      </c>
      <c r="C16" s="681" t="s">
        <v>133</v>
      </c>
      <c r="D16" s="680" t="s">
        <v>148</v>
      </c>
      <c r="E16" s="629">
        <v>30</v>
      </c>
      <c r="F16" s="683"/>
      <c r="G16" s="683" t="str">
        <f t="shared" si="9"/>
        <v>047HPG</v>
      </c>
      <c r="H16" s="689"/>
      <c r="I16" t="s">
        <v>110</v>
      </c>
      <c r="J16" t="s">
        <v>142</v>
      </c>
      <c r="K16" s="57">
        <v>7000</v>
      </c>
      <c r="L16" s="91" t="s">
        <v>155</v>
      </c>
      <c r="M16" s="67">
        <f t="shared" si="0"/>
        <v>67</v>
      </c>
      <c r="N16" s="67">
        <f t="shared" si="0"/>
        <v>131</v>
      </c>
      <c r="P16" s="453">
        <v>19.23</v>
      </c>
      <c r="Q16" s="280">
        <v>19.23</v>
      </c>
      <c r="S16" s="68">
        <f t="shared" si="6"/>
        <v>1288.4100000000001</v>
      </c>
      <c r="T16" s="68">
        <f t="shared" si="1"/>
        <v>2519.13</v>
      </c>
      <c r="U16" s="68"/>
      <c r="V16" s="67">
        <f t="shared" si="2"/>
        <v>67</v>
      </c>
      <c r="W16" s="67">
        <f t="shared" si="2"/>
        <v>131</v>
      </c>
      <c r="Y16" s="68"/>
      <c r="AA16" s="67">
        <f t="shared" si="3"/>
        <v>67</v>
      </c>
      <c r="AB16" s="67">
        <f t="shared" si="3"/>
        <v>131</v>
      </c>
      <c r="AD16" s="607">
        <f t="shared" si="7"/>
        <v>21.33</v>
      </c>
      <c r="AE16" s="79">
        <f t="shared" si="8"/>
        <v>21.33</v>
      </c>
      <c r="AG16" s="68">
        <f t="shared" si="4"/>
        <v>1429.11</v>
      </c>
      <c r="AH16" s="68">
        <f t="shared" si="5"/>
        <v>2794.2299999999996</v>
      </c>
    </row>
    <row r="17" spans="1:68">
      <c r="B17" s="680" t="s">
        <v>139</v>
      </c>
      <c r="C17" s="681" t="s">
        <v>133</v>
      </c>
      <c r="D17" s="680" t="s">
        <v>149</v>
      </c>
      <c r="E17" s="629">
        <v>30</v>
      </c>
      <c r="F17" s="70"/>
      <c r="G17" s="70" t="str">
        <f t="shared" si="9"/>
        <v>047HPL</v>
      </c>
      <c r="H17" s="369"/>
      <c r="I17" t="s">
        <v>110</v>
      </c>
      <c r="J17" t="s">
        <v>142</v>
      </c>
      <c r="K17" s="57">
        <v>10000</v>
      </c>
      <c r="L17" s="91" t="s">
        <v>157</v>
      </c>
      <c r="M17" s="67">
        <f t="shared" si="0"/>
        <v>96</v>
      </c>
      <c r="N17" s="67">
        <f t="shared" si="0"/>
        <v>133</v>
      </c>
      <c r="P17" s="453">
        <v>23.06</v>
      </c>
      <c r="Q17" s="280">
        <v>23.06</v>
      </c>
      <c r="S17" s="68">
        <f t="shared" si="6"/>
        <v>2213.7599999999998</v>
      </c>
      <c r="T17" s="68">
        <f t="shared" si="1"/>
        <v>3066.98</v>
      </c>
      <c r="U17" s="68"/>
      <c r="V17" s="67">
        <f t="shared" si="2"/>
        <v>96</v>
      </c>
      <c r="W17" s="67">
        <f t="shared" si="2"/>
        <v>133</v>
      </c>
      <c r="Y17" s="68"/>
      <c r="AA17" s="67">
        <f t="shared" si="3"/>
        <v>96</v>
      </c>
      <c r="AB17" s="67">
        <f t="shared" si="3"/>
        <v>133</v>
      </c>
      <c r="AD17" s="607">
        <f t="shared" si="7"/>
        <v>25.58</v>
      </c>
      <c r="AE17" s="79">
        <f t="shared" si="8"/>
        <v>25.58</v>
      </c>
      <c r="AG17" s="68">
        <f t="shared" si="4"/>
        <v>2455.6799999999998</v>
      </c>
      <c r="AH17" s="68">
        <f t="shared" si="5"/>
        <v>3402.14</v>
      </c>
    </row>
    <row r="18" spans="1:68">
      <c r="B18" s="680" t="s">
        <v>139</v>
      </c>
      <c r="C18" s="681" t="s">
        <v>133</v>
      </c>
      <c r="D18" s="680" t="s">
        <v>152</v>
      </c>
      <c r="E18" s="629">
        <v>2</v>
      </c>
      <c r="F18" s="70"/>
      <c r="G18" s="70" t="str">
        <f>IF(OR(ISBLANK(C18),ISBLANK(D18)),"",TEXT(C18,"000")&amp;TEXT(D18,"000"))</f>
        <v>047HPO</v>
      </c>
      <c r="H18" s="369"/>
      <c r="I18" t="s">
        <v>110</v>
      </c>
      <c r="J18" t="s">
        <v>142</v>
      </c>
      <c r="K18" s="57">
        <v>20000</v>
      </c>
      <c r="L18" s="91" t="s">
        <v>158</v>
      </c>
      <c r="M18" s="67">
        <f t="shared" si="0"/>
        <v>163</v>
      </c>
      <c r="N18" s="67">
        <f t="shared" si="0"/>
        <v>10</v>
      </c>
      <c r="P18" s="453">
        <v>32.79</v>
      </c>
      <c r="Q18" s="280">
        <v>32.79</v>
      </c>
      <c r="S18" s="68">
        <f t="shared" si="6"/>
        <v>5344.7699999999995</v>
      </c>
      <c r="T18" s="68">
        <f t="shared" si="1"/>
        <v>327.9</v>
      </c>
      <c r="U18" s="68"/>
      <c r="V18" s="67">
        <f t="shared" si="2"/>
        <v>163</v>
      </c>
      <c r="W18" s="67">
        <f t="shared" si="2"/>
        <v>10</v>
      </c>
      <c r="Y18" s="68"/>
      <c r="AA18" s="67">
        <f t="shared" si="3"/>
        <v>163</v>
      </c>
      <c r="AB18" s="67">
        <f t="shared" si="3"/>
        <v>10</v>
      </c>
      <c r="AD18" s="607">
        <f t="shared" si="7"/>
        <v>36.369999999999997</v>
      </c>
      <c r="AE18" s="79">
        <f t="shared" si="8"/>
        <v>36.369999999999997</v>
      </c>
      <c r="AG18" s="68">
        <f t="shared" si="4"/>
        <v>5928.3099999999995</v>
      </c>
      <c r="AH18" s="68">
        <f t="shared" si="5"/>
        <v>363.7</v>
      </c>
    </row>
    <row r="19" spans="1:68">
      <c r="B19" s="680" t="s">
        <v>139</v>
      </c>
      <c r="C19" s="681" t="s">
        <v>133</v>
      </c>
      <c r="D19" s="680" t="s">
        <v>150</v>
      </c>
      <c r="E19" s="629">
        <v>47</v>
      </c>
      <c r="F19" s="70"/>
      <c r="G19" s="70" t="str">
        <f t="shared" si="9"/>
        <v>047HPS</v>
      </c>
      <c r="H19" s="369"/>
      <c r="I19" t="s">
        <v>110</v>
      </c>
      <c r="J19" t="s">
        <v>146</v>
      </c>
      <c r="K19" s="57">
        <v>7000</v>
      </c>
      <c r="L19" s="91" t="s">
        <v>159</v>
      </c>
      <c r="M19" s="67">
        <f t="shared" si="0"/>
        <v>26</v>
      </c>
      <c r="N19" s="67">
        <f t="shared" si="0"/>
        <v>60</v>
      </c>
      <c r="P19" s="453">
        <v>26.98</v>
      </c>
      <c r="Q19" s="280">
        <v>26.98</v>
      </c>
      <c r="S19" s="68">
        <f t="shared" si="6"/>
        <v>701.48</v>
      </c>
      <c r="T19" s="68">
        <f t="shared" si="1"/>
        <v>1618.8</v>
      </c>
      <c r="U19" s="68"/>
      <c r="V19" s="67">
        <f t="shared" si="2"/>
        <v>26</v>
      </c>
      <c r="W19" s="67">
        <f t="shared" si="2"/>
        <v>60</v>
      </c>
      <c r="Y19" s="68"/>
      <c r="AA19" s="67">
        <f t="shared" si="3"/>
        <v>26</v>
      </c>
      <c r="AB19" s="67">
        <f t="shared" si="3"/>
        <v>60</v>
      </c>
      <c r="AD19" s="607">
        <f>AD16+AD28</f>
        <v>29.93</v>
      </c>
      <c r="AE19" s="79">
        <f t="shared" si="8"/>
        <v>29.93</v>
      </c>
      <c r="AG19" s="68">
        <f t="shared" si="4"/>
        <v>778.18</v>
      </c>
      <c r="AH19" s="68">
        <f t="shared" si="5"/>
        <v>1795.8</v>
      </c>
    </row>
    <row r="20" spans="1:68">
      <c r="B20" s="680" t="s">
        <v>139</v>
      </c>
      <c r="C20" s="681" t="s">
        <v>133</v>
      </c>
      <c r="D20" s="680" t="s">
        <v>153</v>
      </c>
      <c r="E20" s="629">
        <v>12</v>
      </c>
      <c r="F20" s="70"/>
      <c r="G20" s="70" t="str">
        <f t="shared" si="9"/>
        <v>047HPY</v>
      </c>
      <c r="H20" s="369"/>
      <c r="I20" t="s">
        <v>110</v>
      </c>
      <c r="J20" t="s">
        <v>146</v>
      </c>
      <c r="K20" s="57">
        <v>10000</v>
      </c>
      <c r="L20" s="91" t="s">
        <v>160</v>
      </c>
      <c r="M20" s="67">
        <f t="shared" si="0"/>
        <v>30</v>
      </c>
      <c r="N20" s="67">
        <f t="shared" si="0"/>
        <v>28</v>
      </c>
      <c r="P20" s="453">
        <v>30.81</v>
      </c>
      <c r="Q20" s="280">
        <v>30.81</v>
      </c>
      <c r="S20" s="68">
        <f t="shared" si="6"/>
        <v>924.3</v>
      </c>
      <c r="T20" s="68">
        <f t="shared" si="1"/>
        <v>862.68</v>
      </c>
      <c r="U20" s="68"/>
      <c r="V20" s="67">
        <f t="shared" si="2"/>
        <v>30</v>
      </c>
      <c r="W20" s="67">
        <f t="shared" si="2"/>
        <v>28</v>
      </c>
      <c r="Y20" s="68"/>
      <c r="AA20" s="67">
        <f t="shared" si="3"/>
        <v>30</v>
      </c>
      <c r="AB20" s="67">
        <f t="shared" si="3"/>
        <v>28</v>
      </c>
      <c r="AD20" s="607">
        <f>AD17+AD28</f>
        <v>34.18</v>
      </c>
      <c r="AE20" s="79">
        <f t="shared" si="8"/>
        <v>34.18</v>
      </c>
      <c r="AG20" s="68">
        <f t="shared" si="4"/>
        <v>1025.4000000000001</v>
      </c>
      <c r="AH20" s="68">
        <f t="shared" si="5"/>
        <v>957.04</v>
      </c>
    </row>
    <row r="21" spans="1:68">
      <c r="B21" s="687" t="s">
        <v>139</v>
      </c>
      <c r="C21" s="690" t="s">
        <v>133</v>
      </c>
      <c r="D21" s="687" t="s">
        <v>678</v>
      </c>
      <c r="E21" s="629">
        <v>0</v>
      </c>
      <c r="F21" s="70"/>
      <c r="G21" s="70" t="str">
        <f t="shared" ref="G21" si="10">IF(OR(ISBLANK(C21),ISBLANK(D21)),"",TEXT(C21,"000")&amp;TEXT(D21,"000"))</f>
        <v>047HAIL</v>
      </c>
      <c r="H21" s="369"/>
      <c r="I21" t="s">
        <v>110</v>
      </c>
      <c r="J21" t="s">
        <v>146</v>
      </c>
      <c r="K21" s="57">
        <v>20000</v>
      </c>
      <c r="L21" s="91" t="s">
        <v>161</v>
      </c>
      <c r="M21" s="67">
        <f t="shared" si="0"/>
        <v>92</v>
      </c>
      <c r="N21" s="67">
        <f t="shared" si="0"/>
        <v>11</v>
      </c>
      <c r="P21" s="453">
        <v>40.54</v>
      </c>
      <c r="Q21" s="280">
        <v>40.54</v>
      </c>
      <c r="S21" s="68">
        <f t="shared" si="6"/>
        <v>3729.68</v>
      </c>
      <c r="T21" s="68">
        <f t="shared" si="1"/>
        <v>445.94</v>
      </c>
      <c r="U21" s="68"/>
      <c r="V21" s="67">
        <f t="shared" si="2"/>
        <v>92</v>
      </c>
      <c r="W21" s="67">
        <f t="shared" si="2"/>
        <v>11</v>
      </c>
      <c r="Y21" s="68"/>
      <c r="AA21" s="67">
        <f t="shared" si="3"/>
        <v>92</v>
      </c>
      <c r="AB21" s="67">
        <f t="shared" si="3"/>
        <v>11</v>
      </c>
      <c r="AD21" s="607">
        <f>AD18+AD28</f>
        <v>44.97</v>
      </c>
      <c r="AE21" s="79">
        <f t="shared" si="8"/>
        <v>44.97</v>
      </c>
      <c r="AG21" s="68">
        <f t="shared" si="4"/>
        <v>4137.24</v>
      </c>
      <c r="AH21" s="68">
        <f t="shared" si="5"/>
        <v>494.66999999999996</v>
      </c>
    </row>
    <row r="22" spans="1:68">
      <c r="B22" s="680" t="s">
        <v>139</v>
      </c>
      <c r="C22" s="681" t="s">
        <v>133</v>
      </c>
      <c r="D22" s="680" t="s">
        <v>655</v>
      </c>
      <c r="E22" s="629">
        <v>135</v>
      </c>
      <c r="F22" s="70"/>
      <c r="G22" s="70" t="str">
        <f t="shared" si="9"/>
        <v>047HAML</v>
      </c>
      <c r="H22" s="369"/>
      <c r="I22" t="s">
        <v>110</v>
      </c>
      <c r="J22" t="s">
        <v>164</v>
      </c>
      <c r="K22" s="57">
        <v>10000</v>
      </c>
      <c r="L22" s="91" t="s">
        <v>162</v>
      </c>
      <c r="M22" s="67">
        <f t="shared" si="0"/>
        <v>0</v>
      </c>
      <c r="N22" s="67">
        <f t="shared" si="0"/>
        <v>0</v>
      </c>
      <c r="P22" s="453">
        <v>35.200000000000003</v>
      </c>
      <c r="Q22" s="280">
        <v>35.200000000000003</v>
      </c>
      <c r="S22" s="68">
        <f t="shared" si="6"/>
        <v>0</v>
      </c>
      <c r="T22" s="68">
        <f t="shared" si="1"/>
        <v>0</v>
      </c>
      <c r="U22" s="68"/>
      <c r="V22" s="67">
        <f t="shared" si="2"/>
        <v>0</v>
      </c>
      <c r="W22" s="67">
        <f t="shared" si="2"/>
        <v>0</v>
      </c>
      <c r="Y22" s="68"/>
      <c r="AA22" s="67">
        <f t="shared" si="3"/>
        <v>0</v>
      </c>
      <c r="AB22" s="67">
        <f t="shared" si="3"/>
        <v>0</v>
      </c>
      <c r="AD22" s="607">
        <f t="shared" si="7"/>
        <v>39.049999999999997</v>
      </c>
      <c r="AE22" s="79">
        <f t="shared" si="8"/>
        <v>39.049999999999997</v>
      </c>
      <c r="AG22" s="68">
        <f t="shared" si="4"/>
        <v>0</v>
      </c>
      <c r="AH22" s="68">
        <f t="shared" si="5"/>
        <v>0</v>
      </c>
    </row>
    <row r="23" spans="1:68">
      <c r="B23" s="680" t="s">
        <v>139</v>
      </c>
      <c r="C23" s="681" t="s">
        <v>133</v>
      </c>
      <c r="D23" s="680" t="s">
        <v>656</v>
      </c>
      <c r="E23" s="629">
        <v>35</v>
      </c>
      <c r="F23" s="70"/>
      <c r="G23" s="70" t="str">
        <f t="shared" si="9"/>
        <v>047HANL</v>
      </c>
      <c r="H23" s="369"/>
      <c r="I23" t="s">
        <v>110</v>
      </c>
      <c r="J23" t="s">
        <v>164</v>
      </c>
      <c r="K23" s="57">
        <v>20000</v>
      </c>
      <c r="L23" s="91" t="s">
        <v>163</v>
      </c>
      <c r="M23" s="67">
        <f t="shared" si="0"/>
        <v>0</v>
      </c>
      <c r="N23" s="67">
        <f t="shared" si="0"/>
        <v>0</v>
      </c>
      <c r="P23" s="453">
        <v>44.9</v>
      </c>
      <c r="Q23" s="280">
        <v>44.9</v>
      </c>
      <c r="S23" s="68">
        <f t="shared" si="6"/>
        <v>0</v>
      </c>
      <c r="T23" s="68">
        <f t="shared" si="1"/>
        <v>0</v>
      </c>
      <c r="U23" s="68"/>
      <c r="V23" s="67">
        <f t="shared" si="2"/>
        <v>0</v>
      </c>
      <c r="W23" s="67">
        <f t="shared" si="2"/>
        <v>0</v>
      </c>
      <c r="Y23" s="68"/>
      <c r="AA23" s="67">
        <f t="shared" si="3"/>
        <v>0</v>
      </c>
      <c r="AB23" s="67">
        <f t="shared" si="3"/>
        <v>0</v>
      </c>
      <c r="AD23" s="607">
        <f t="shared" si="7"/>
        <v>49.81</v>
      </c>
      <c r="AE23" s="79">
        <f t="shared" si="8"/>
        <v>49.81</v>
      </c>
      <c r="AG23" s="68">
        <f t="shared" si="4"/>
        <v>0</v>
      </c>
      <c r="AH23" s="68">
        <f t="shared" si="5"/>
        <v>0</v>
      </c>
    </row>
    <row r="24" spans="1:68">
      <c r="B24" s="680" t="s">
        <v>139</v>
      </c>
      <c r="C24" s="690" t="s">
        <v>133</v>
      </c>
      <c r="D24" s="687" t="s">
        <v>679</v>
      </c>
      <c r="E24" s="629">
        <v>9</v>
      </c>
      <c r="F24" s="70"/>
      <c r="G24" s="70" t="str">
        <f t="shared" ref="G24" si="11">IF(OR(ISBLANK(C24),ISBLANK(D24)),"",TEXT(C24,"000")&amp;TEXT(D24,"000"))</f>
        <v>047HAOL</v>
      </c>
      <c r="H24" s="369"/>
      <c r="I24" s="380" t="s">
        <v>110</v>
      </c>
      <c r="J24" s="380" t="s">
        <v>169</v>
      </c>
      <c r="K24" s="57">
        <v>7000</v>
      </c>
      <c r="L24" s="91" t="s">
        <v>166</v>
      </c>
      <c r="M24" s="67">
        <f t="shared" ref="M24:N43" si="12">SUMIF($G:$G,TEXT(M$3,"000")&amp;TEXT($L24,"000"),$E:$E)</f>
        <v>0</v>
      </c>
      <c r="N24" s="67">
        <f t="shared" si="12"/>
        <v>0</v>
      </c>
      <c r="P24" s="453">
        <v>32.83</v>
      </c>
      <c r="Q24" s="280">
        <v>32.83</v>
      </c>
      <c r="S24" s="68">
        <f t="shared" si="6"/>
        <v>0</v>
      </c>
      <c r="T24" s="68">
        <f t="shared" si="1"/>
        <v>0</v>
      </c>
      <c r="U24" s="68"/>
      <c r="V24" s="67">
        <f t="shared" ref="V24:W43" si="13">SUMIF($G:$G,TEXT(V$3,"000")&amp;TEXT($L24,"000"),$E:$E)</f>
        <v>0</v>
      </c>
      <c r="W24" s="67">
        <f t="shared" si="13"/>
        <v>0</v>
      </c>
      <c r="Y24" s="68"/>
      <c r="AA24" s="67">
        <f t="shared" si="3"/>
        <v>0</v>
      </c>
      <c r="AB24" s="67">
        <f t="shared" si="3"/>
        <v>0</v>
      </c>
      <c r="AD24" s="607">
        <f t="shared" si="7"/>
        <v>36.42</v>
      </c>
      <c r="AE24" s="79">
        <f t="shared" si="8"/>
        <v>36.42</v>
      </c>
      <c r="AG24" s="68">
        <f t="shared" si="4"/>
        <v>0</v>
      </c>
      <c r="AH24" s="68">
        <f t="shared" si="5"/>
        <v>0</v>
      </c>
    </row>
    <row r="25" spans="1:68">
      <c r="A25" s="622"/>
      <c r="B25" s="680" t="s">
        <v>139</v>
      </c>
      <c r="C25" s="681" t="s">
        <v>133</v>
      </c>
      <c r="D25" s="680" t="s">
        <v>528</v>
      </c>
      <c r="E25" s="629">
        <v>4</v>
      </c>
      <c r="F25" s="70"/>
      <c r="G25" s="70" t="str">
        <f>IF(OR(ISBLANK(C25),ISBLANK(D25)),"",TEXT(C25,"000")&amp;TEXT(D25,"000"))</f>
        <v>047HAPL</v>
      </c>
      <c r="H25" s="369"/>
      <c r="I25" t="s">
        <v>110</v>
      </c>
      <c r="J25" t="s">
        <v>169</v>
      </c>
      <c r="K25" s="57">
        <v>10000</v>
      </c>
      <c r="L25" s="91" t="s">
        <v>167</v>
      </c>
      <c r="M25" s="67">
        <f t="shared" si="12"/>
        <v>0</v>
      </c>
      <c r="N25" s="67">
        <f t="shared" si="12"/>
        <v>3</v>
      </c>
      <c r="P25" s="453">
        <v>36.700000000000003</v>
      </c>
      <c r="Q25" s="280">
        <v>36.700000000000003</v>
      </c>
      <c r="S25" s="68">
        <f t="shared" si="6"/>
        <v>0</v>
      </c>
      <c r="T25" s="68">
        <f t="shared" si="1"/>
        <v>110.10000000000001</v>
      </c>
      <c r="U25" s="68"/>
      <c r="V25" s="67">
        <f t="shared" si="13"/>
        <v>0</v>
      </c>
      <c r="W25" s="67">
        <f t="shared" si="13"/>
        <v>3</v>
      </c>
      <c r="Y25" s="68"/>
      <c r="AA25" s="67">
        <f t="shared" si="3"/>
        <v>0</v>
      </c>
      <c r="AB25" s="67">
        <f t="shared" si="3"/>
        <v>3</v>
      </c>
      <c r="AD25" s="607">
        <f t="shared" si="7"/>
        <v>40.71</v>
      </c>
      <c r="AE25" s="79">
        <f t="shared" si="8"/>
        <v>40.71</v>
      </c>
      <c r="AG25" s="68">
        <f t="shared" si="4"/>
        <v>0</v>
      </c>
      <c r="AH25" s="68">
        <f t="shared" si="5"/>
        <v>122.13</v>
      </c>
    </row>
    <row r="26" spans="1:68">
      <c r="B26" s="680" t="s">
        <v>139</v>
      </c>
      <c r="C26" s="681" t="s">
        <v>133</v>
      </c>
      <c r="D26" s="687" t="s">
        <v>680</v>
      </c>
      <c r="E26" s="629">
        <v>19</v>
      </c>
      <c r="F26" s="70"/>
      <c r="G26" s="70" t="str">
        <f>IF(OR(ISBLANK(C26),ISBLANK(D26)),"",TEXT(C26,"000")&amp;TEXT(D26,"000"))</f>
        <v>047HAQL</v>
      </c>
      <c r="H26" s="369"/>
      <c r="I26" t="s">
        <v>110</v>
      </c>
      <c r="J26" t="s">
        <v>169</v>
      </c>
      <c r="K26" s="57">
        <v>20000</v>
      </c>
      <c r="L26" s="91" t="s">
        <v>168</v>
      </c>
      <c r="M26" s="67">
        <f t="shared" si="12"/>
        <v>2</v>
      </c>
      <c r="N26" s="67">
        <f t="shared" si="12"/>
        <v>0</v>
      </c>
      <c r="P26" s="453">
        <v>46.41</v>
      </c>
      <c r="Q26" s="280">
        <v>46.41</v>
      </c>
      <c r="S26" s="68">
        <f t="shared" si="6"/>
        <v>92.82</v>
      </c>
      <c r="T26" s="68">
        <f t="shared" si="1"/>
        <v>0</v>
      </c>
      <c r="U26" s="68"/>
      <c r="V26" s="67">
        <f t="shared" si="13"/>
        <v>2</v>
      </c>
      <c r="W26" s="67">
        <f t="shared" si="13"/>
        <v>0</v>
      </c>
      <c r="Y26" s="68"/>
      <c r="AA26" s="67">
        <f t="shared" si="3"/>
        <v>2</v>
      </c>
      <c r="AB26" s="67">
        <f t="shared" si="3"/>
        <v>0</v>
      </c>
      <c r="AD26" s="607">
        <f t="shared" si="7"/>
        <v>51.48</v>
      </c>
      <c r="AE26" s="79">
        <f t="shared" si="8"/>
        <v>51.48</v>
      </c>
      <c r="AG26" s="68">
        <f t="shared" si="4"/>
        <v>102.96</v>
      </c>
      <c r="AH26" s="68">
        <f t="shared" si="5"/>
        <v>0</v>
      </c>
    </row>
    <row r="27" spans="1:68">
      <c r="B27" s="680" t="s">
        <v>139</v>
      </c>
      <c r="C27" s="690" t="s">
        <v>133</v>
      </c>
      <c r="D27" s="687" t="s">
        <v>737</v>
      </c>
      <c r="E27" s="629">
        <v>20</v>
      </c>
      <c r="F27" s="70"/>
      <c r="G27" s="70" t="str">
        <f>IF(OR(ISBLANK(C27),ISBLANK(D27)),"",TEXT(C27,"000")&amp;TEXT(D27,"000"))</f>
        <v>047HARL</v>
      </c>
      <c r="H27" s="369"/>
      <c r="I27" s="18" t="s">
        <v>110</v>
      </c>
      <c r="J27" s="18" t="s">
        <v>391</v>
      </c>
      <c r="K27" s="82">
        <v>7000</v>
      </c>
      <c r="L27" s="287" t="s">
        <v>390</v>
      </c>
      <c r="M27" s="67">
        <f t="shared" si="12"/>
        <v>0</v>
      </c>
      <c r="N27" s="67">
        <f t="shared" si="12"/>
        <v>2</v>
      </c>
      <c r="O27" s="286"/>
      <c r="P27" s="453">
        <v>9.6150000000000002</v>
      </c>
      <c r="Q27" s="280">
        <v>9.6150000000000002</v>
      </c>
      <c r="R27" s="286"/>
      <c r="S27" s="68">
        <f t="shared" si="6"/>
        <v>0</v>
      </c>
      <c r="T27" s="68">
        <f t="shared" si="1"/>
        <v>19.23</v>
      </c>
      <c r="U27" s="68"/>
      <c r="V27" s="67">
        <f t="shared" si="13"/>
        <v>0</v>
      </c>
      <c r="W27" s="67">
        <f t="shared" si="13"/>
        <v>2</v>
      </c>
      <c r="Y27" s="68"/>
      <c r="Z27" s="286"/>
      <c r="AA27" s="67">
        <f t="shared" si="3"/>
        <v>0</v>
      </c>
      <c r="AB27" s="67">
        <f t="shared" si="3"/>
        <v>2</v>
      </c>
      <c r="AC27" s="286"/>
      <c r="AD27" s="449">
        <f>AD16/2</f>
        <v>10.664999999999999</v>
      </c>
      <c r="AE27" s="79">
        <f t="shared" si="8"/>
        <v>10.664999999999999</v>
      </c>
      <c r="AF27" s="286"/>
      <c r="AG27" s="68">
        <f t="shared" si="4"/>
        <v>0</v>
      </c>
      <c r="AH27" s="68">
        <f t="shared" si="5"/>
        <v>21.33</v>
      </c>
      <c r="AI27" s="286"/>
    </row>
    <row r="28" spans="1:68">
      <c r="B28" s="680" t="s">
        <v>139</v>
      </c>
      <c r="C28" s="681" t="s">
        <v>133</v>
      </c>
      <c r="D28" s="680" t="s">
        <v>519</v>
      </c>
      <c r="E28" s="629">
        <v>766</v>
      </c>
      <c r="F28" s="683"/>
      <c r="G28" s="683" t="str">
        <f t="shared" si="9"/>
        <v>047HPAL</v>
      </c>
      <c r="H28" s="369"/>
      <c r="I28" t="s">
        <v>173</v>
      </c>
      <c r="J28" s="480" t="s">
        <v>542</v>
      </c>
      <c r="K28" s="57" t="s">
        <v>174</v>
      </c>
      <c r="L28" s="91" t="s">
        <v>171</v>
      </c>
      <c r="M28" s="67">
        <f t="shared" si="12"/>
        <v>46</v>
      </c>
      <c r="N28" s="67">
        <f t="shared" si="12"/>
        <v>2</v>
      </c>
      <c r="P28" s="453">
        <v>7.75</v>
      </c>
      <c r="Q28" s="280">
        <v>7.75</v>
      </c>
      <c r="S28" s="68">
        <f t="shared" si="6"/>
        <v>356.5</v>
      </c>
      <c r="T28" s="68">
        <f t="shared" si="1"/>
        <v>15.5</v>
      </c>
      <c r="U28" s="68"/>
      <c r="V28" s="67">
        <f t="shared" si="13"/>
        <v>46</v>
      </c>
      <c r="W28" s="67">
        <f t="shared" si="13"/>
        <v>2</v>
      </c>
      <c r="Y28" s="68"/>
      <c r="AA28" s="67">
        <f t="shared" si="3"/>
        <v>46</v>
      </c>
      <c r="AB28" s="67">
        <f t="shared" si="3"/>
        <v>2</v>
      </c>
      <c r="AD28" s="607">
        <f t="shared" si="7"/>
        <v>8.6</v>
      </c>
      <c r="AE28" s="79">
        <f t="shared" si="8"/>
        <v>8.6</v>
      </c>
      <c r="AG28" s="68">
        <f t="shared" si="4"/>
        <v>395.59999999999997</v>
      </c>
      <c r="AH28" s="68">
        <f t="shared" si="5"/>
        <v>17.2</v>
      </c>
    </row>
    <row r="29" spans="1:68">
      <c r="B29" s="680" t="s">
        <v>139</v>
      </c>
      <c r="C29" s="681" t="s">
        <v>133</v>
      </c>
      <c r="D29" s="680" t="s">
        <v>520</v>
      </c>
      <c r="E29" s="629">
        <v>652</v>
      </c>
      <c r="F29" s="70"/>
      <c r="G29" s="70" t="str">
        <f t="shared" si="9"/>
        <v>047HPBL</v>
      </c>
      <c r="H29" s="369"/>
      <c r="I29" s="458" t="s">
        <v>517</v>
      </c>
      <c r="J29" s="458" t="str">
        <f>J6</f>
        <v>on existing standard</v>
      </c>
      <c r="K29" s="458" t="s">
        <v>109</v>
      </c>
      <c r="L29" s="445" t="s">
        <v>519</v>
      </c>
      <c r="M29" s="444">
        <f t="shared" si="12"/>
        <v>766</v>
      </c>
      <c r="N29" s="444">
        <f t="shared" si="12"/>
        <v>1281</v>
      </c>
      <c r="O29" s="458"/>
      <c r="P29" s="473">
        <v>16.73</v>
      </c>
      <c r="Q29" s="280">
        <v>16.73</v>
      </c>
      <c r="R29" s="458"/>
      <c r="S29" s="68">
        <f t="shared" ref="S29:S40" si="14">IF(AND(M29&lt;&gt;0,P29=0),#VALUE!,M29*P29)</f>
        <v>12815.18</v>
      </c>
      <c r="T29" s="68">
        <f t="shared" ref="T29:T40" si="15">IF(AND(N29&lt;&gt;0,Q29=0),#VALUE!,N29*Q29)</f>
        <v>21431.13</v>
      </c>
      <c r="U29" s="68"/>
      <c r="V29" s="444">
        <f t="shared" si="13"/>
        <v>766</v>
      </c>
      <c r="W29" s="444">
        <f t="shared" si="13"/>
        <v>1281</v>
      </c>
      <c r="X29" s="458"/>
      <c r="Y29" s="68"/>
      <c r="Z29" s="458"/>
      <c r="AA29" s="444">
        <f t="shared" ref="AA29:AA40" si="16">M29</f>
        <v>766</v>
      </c>
      <c r="AB29" s="444">
        <f t="shared" ref="AB29:AB50" si="17">N29</f>
        <v>1281</v>
      </c>
      <c r="AC29" s="458"/>
      <c r="AD29" s="607">
        <f>AD6</f>
        <v>18.559999999999999</v>
      </c>
      <c r="AE29" s="79">
        <f t="shared" si="8"/>
        <v>18.559999999999999</v>
      </c>
      <c r="AF29" s="458"/>
      <c r="AG29" s="68">
        <f>IF(AND(AA29&lt;&gt;0,AD29=0),#VALUE!,AA29*AD29)</f>
        <v>14216.96</v>
      </c>
      <c r="AH29" s="68">
        <f>IF(AND(AB29&lt;&gt;0,AE29=0),#VALUE!,AB29*AE29)</f>
        <v>23775.359999999997</v>
      </c>
      <c r="AI29" s="458"/>
      <c r="AJ29" s="458"/>
      <c r="AK29" s="458"/>
      <c r="AL29" s="458"/>
      <c r="AM29" s="458"/>
      <c r="AN29" s="458"/>
      <c r="AO29" s="458"/>
      <c r="AP29" s="458"/>
      <c r="AQ29" s="458"/>
      <c r="AR29" s="458"/>
      <c r="AS29" s="458"/>
      <c r="AT29" s="458"/>
      <c r="AU29" s="458"/>
      <c r="AV29" s="458"/>
      <c r="AW29" s="458"/>
      <c r="AX29" s="458"/>
      <c r="AY29" s="458"/>
      <c r="AZ29" s="458"/>
      <c r="BA29" s="458"/>
      <c r="BB29" s="458"/>
    </row>
    <row r="30" spans="1:68">
      <c r="B30" s="680" t="s">
        <v>139</v>
      </c>
      <c r="C30" s="681" t="s">
        <v>133</v>
      </c>
      <c r="D30" s="680" t="s">
        <v>540</v>
      </c>
      <c r="E30" s="629">
        <v>193</v>
      </c>
      <c r="F30" s="70"/>
      <c r="G30" s="70" t="str">
        <f t="shared" si="9"/>
        <v>047HPCL</v>
      </c>
      <c r="H30" s="369"/>
      <c r="I30" s="458" t="s">
        <v>517</v>
      </c>
      <c r="J30" s="458" t="str">
        <f>J7</f>
        <v>on existing standard</v>
      </c>
      <c r="K30" s="458" t="s">
        <v>516</v>
      </c>
      <c r="L30" s="445" t="s">
        <v>520</v>
      </c>
      <c r="M30" s="444">
        <f t="shared" si="12"/>
        <v>652</v>
      </c>
      <c r="N30" s="444">
        <f t="shared" si="12"/>
        <v>193</v>
      </c>
      <c r="O30" s="458"/>
      <c r="P30" s="473">
        <v>23.75</v>
      </c>
      <c r="Q30" s="280">
        <v>23.75</v>
      </c>
      <c r="R30" s="458"/>
      <c r="S30" s="68">
        <f t="shared" si="14"/>
        <v>15485</v>
      </c>
      <c r="T30" s="68">
        <f t="shared" si="15"/>
        <v>4583.75</v>
      </c>
      <c r="U30" s="68"/>
      <c r="V30" s="444">
        <f t="shared" si="13"/>
        <v>652</v>
      </c>
      <c r="W30" s="444">
        <f t="shared" si="13"/>
        <v>193</v>
      </c>
      <c r="X30" s="458"/>
      <c r="Y30" s="68"/>
      <c r="Z30" s="458"/>
      <c r="AA30" s="444">
        <f t="shared" si="16"/>
        <v>652</v>
      </c>
      <c r="AB30" s="444">
        <f t="shared" si="17"/>
        <v>193</v>
      </c>
      <c r="AC30" s="458"/>
      <c r="AD30" s="607">
        <f>AD7</f>
        <v>26.34</v>
      </c>
      <c r="AE30" s="449">
        <f>AE7</f>
        <v>26.34</v>
      </c>
      <c r="AF30" s="458"/>
      <c r="AG30" s="68">
        <f t="shared" ref="AG30:AG39" si="18">IF(AND(AA30&lt;&gt;0,AD30=0),#VALUE!,AA30*AD30)</f>
        <v>17173.68</v>
      </c>
      <c r="AH30" s="68">
        <f t="shared" ref="AH30:AH40" si="19">IF(AND(AB30&lt;&gt;0,AE30=0),#VALUE!,AB30*AE30)</f>
        <v>5083.62</v>
      </c>
      <c r="AI30" s="458"/>
      <c r="AJ30" s="458"/>
      <c r="AK30" s="458"/>
      <c r="AL30" s="458"/>
      <c r="AM30" s="458"/>
      <c r="AN30" s="458"/>
      <c r="AO30" s="458"/>
      <c r="AP30" s="458"/>
      <c r="AQ30" s="458"/>
      <c r="AR30" s="458"/>
      <c r="AS30" s="458"/>
      <c r="AT30" s="458"/>
      <c r="AU30" s="458"/>
      <c r="AV30" s="458"/>
      <c r="AW30" s="458"/>
      <c r="AX30" s="458"/>
      <c r="AY30" s="458"/>
      <c r="AZ30" s="458"/>
      <c r="BA30" s="458"/>
      <c r="BB30" s="458"/>
      <c r="BC30" s="458"/>
      <c r="BD30" s="458"/>
      <c r="BE30" s="458"/>
      <c r="BF30" s="458"/>
      <c r="BG30" s="458"/>
      <c r="BH30" s="458"/>
    </row>
    <row r="31" spans="1:68">
      <c r="B31" s="680" t="s">
        <v>139</v>
      </c>
      <c r="C31" s="681" t="s">
        <v>133</v>
      </c>
      <c r="D31" s="680" t="s">
        <v>523</v>
      </c>
      <c r="E31" s="629">
        <v>564</v>
      </c>
      <c r="F31" s="70"/>
      <c r="G31" s="70" t="str">
        <f t="shared" si="9"/>
        <v>047HPDL</v>
      </c>
      <c r="H31" s="369"/>
      <c r="I31" s="504" t="s">
        <v>517</v>
      </c>
      <c r="J31" s="504" t="str">
        <f>J8</f>
        <v>on existing standard</v>
      </c>
      <c r="K31" s="504" t="s">
        <v>653</v>
      </c>
      <c r="L31" s="445" t="s">
        <v>540</v>
      </c>
      <c r="M31" s="444">
        <f t="shared" si="12"/>
        <v>193</v>
      </c>
      <c r="N31" s="444">
        <f t="shared" si="12"/>
        <v>7</v>
      </c>
      <c r="O31" s="504"/>
      <c r="P31" s="473">
        <v>32.81</v>
      </c>
      <c r="Q31" s="280">
        <v>32.81</v>
      </c>
      <c r="R31" s="504"/>
      <c r="S31" s="68">
        <f>IF(AND(M31&lt;&gt;0,P31=0),#VALUE!,M31*P31)</f>
        <v>6332.3300000000008</v>
      </c>
      <c r="T31" s="68">
        <f>IF(AND(N31&lt;&gt;0,Q31=0),#VALUE!,N31*Q31)</f>
        <v>229.67000000000002</v>
      </c>
      <c r="U31" s="68"/>
      <c r="V31" s="444">
        <f t="shared" si="13"/>
        <v>193</v>
      </c>
      <c r="W31" s="444">
        <f t="shared" si="13"/>
        <v>7</v>
      </c>
      <c r="X31" s="504"/>
      <c r="Y31" s="68"/>
      <c r="Z31" s="504"/>
      <c r="AA31" s="444">
        <f>M31</f>
        <v>193</v>
      </c>
      <c r="AB31" s="444">
        <f>N31</f>
        <v>7</v>
      </c>
      <c r="AC31" s="504"/>
      <c r="AD31" s="607">
        <f>AD8</f>
        <v>36.39</v>
      </c>
      <c r="AE31" s="449">
        <f>AE8</f>
        <v>36.39</v>
      </c>
      <c r="AF31" s="504"/>
      <c r="AG31" s="68">
        <f>IF(AND(AA31&lt;&gt;0,AD31=0),#VALUE!,AA31*AD31)</f>
        <v>7023.27</v>
      </c>
      <c r="AH31" s="68">
        <f>IF(AND(AB31&lt;&gt;0,AE31=0),#VALUE!,AB31*AE31)</f>
        <v>254.73000000000002</v>
      </c>
      <c r="AI31" s="504"/>
      <c r="AJ31" s="504"/>
      <c r="AK31" s="504"/>
      <c r="AL31" s="504"/>
      <c r="AM31" s="504"/>
      <c r="AN31" s="504"/>
      <c r="AO31" s="504"/>
      <c r="AP31" s="504"/>
      <c r="AQ31" s="504"/>
      <c r="AR31" s="504"/>
      <c r="AS31" s="504"/>
      <c r="AT31" s="504"/>
      <c r="AU31" s="504"/>
      <c r="AV31" s="504"/>
      <c r="AW31" s="504"/>
      <c r="AX31" s="504"/>
      <c r="AY31" s="504"/>
      <c r="AZ31" s="504"/>
      <c r="BA31" s="504"/>
      <c r="BB31" s="504"/>
      <c r="BC31" s="458"/>
      <c r="BD31" s="458"/>
      <c r="BE31" s="458"/>
      <c r="BF31" s="458"/>
      <c r="BG31" s="458"/>
      <c r="BH31" s="458"/>
      <c r="BI31" s="458"/>
      <c r="BJ31" s="458"/>
      <c r="BK31" s="458"/>
      <c r="BL31" s="458"/>
      <c r="BM31" s="458"/>
      <c r="BN31" s="458"/>
      <c r="BO31" s="458"/>
      <c r="BP31" s="458"/>
    </row>
    <row r="32" spans="1:68">
      <c r="B32" s="680" t="s">
        <v>139</v>
      </c>
      <c r="C32" s="681" t="s">
        <v>133</v>
      </c>
      <c r="D32" s="680" t="s">
        <v>522</v>
      </c>
      <c r="E32" s="629">
        <v>541</v>
      </c>
      <c r="F32" s="683"/>
      <c r="G32" s="683" t="str">
        <f t="shared" si="9"/>
        <v>047HPEL</v>
      </c>
      <c r="H32" s="369"/>
      <c r="I32" s="458" t="s">
        <v>517</v>
      </c>
      <c r="J32" s="458" t="str">
        <f>J14</f>
        <v>20' fiberglass pole</v>
      </c>
      <c r="K32" s="458" t="s">
        <v>109</v>
      </c>
      <c r="L32" s="445" t="s">
        <v>521</v>
      </c>
      <c r="M32" s="444">
        <f t="shared" si="12"/>
        <v>81</v>
      </c>
      <c r="N32" s="444">
        <f t="shared" si="12"/>
        <v>291</v>
      </c>
      <c r="O32" s="458"/>
      <c r="P32" s="473">
        <v>24.5</v>
      </c>
      <c r="Q32" s="280">
        <v>24.5</v>
      </c>
      <c r="R32" s="458"/>
      <c r="S32" s="68">
        <f t="shared" si="14"/>
        <v>1984.5</v>
      </c>
      <c r="T32" s="68">
        <f t="shared" si="15"/>
        <v>7129.5</v>
      </c>
      <c r="U32" s="68"/>
      <c r="V32" s="444">
        <f t="shared" si="13"/>
        <v>81</v>
      </c>
      <c r="W32" s="444">
        <f t="shared" si="13"/>
        <v>291</v>
      </c>
      <c r="X32" s="458"/>
      <c r="Y32" s="68"/>
      <c r="Z32" s="458"/>
      <c r="AA32" s="444">
        <f t="shared" si="16"/>
        <v>81</v>
      </c>
      <c r="AB32" s="444">
        <f t="shared" si="17"/>
        <v>291</v>
      </c>
      <c r="AC32" s="458"/>
      <c r="AD32" s="607">
        <f>AD14</f>
        <v>27.18</v>
      </c>
      <c r="AE32" s="449">
        <f>AE14</f>
        <v>27.18</v>
      </c>
      <c r="AF32" s="458"/>
      <c r="AG32" s="68">
        <f t="shared" si="18"/>
        <v>2201.58</v>
      </c>
      <c r="AH32" s="68">
        <f t="shared" si="19"/>
        <v>7909.38</v>
      </c>
      <c r="AI32" s="458"/>
      <c r="AJ32" s="458"/>
      <c r="AK32" s="458"/>
      <c r="AL32" s="458"/>
      <c r="AM32" s="458"/>
      <c r="AN32" s="458"/>
      <c r="AO32" s="458"/>
      <c r="AP32" s="458"/>
      <c r="AQ32" s="458"/>
      <c r="AR32" s="458"/>
      <c r="AS32" s="458"/>
      <c r="AT32" s="458"/>
      <c r="AU32" s="458"/>
      <c r="AV32" s="458"/>
      <c r="AW32" s="458"/>
      <c r="AX32" s="458"/>
      <c r="AY32" s="458"/>
      <c r="AZ32" s="458"/>
      <c r="BA32" s="458"/>
      <c r="BB32" s="458"/>
      <c r="BC32" s="504"/>
      <c r="BD32" s="504"/>
      <c r="BE32" s="504"/>
      <c r="BF32" s="504"/>
      <c r="BG32" s="504"/>
      <c r="BH32" s="504"/>
      <c r="BI32" s="458"/>
      <c r="BJ32" s="458"/>
      <c r="BK32" s="458"/>
      <c r="BL32" s="458"/>
      <c r="BM32" s="458"/>
      <c r="BN32" s="458"/>
      <c r="BO32" s="458"/>
      <c r="BP32" s="458"/>
    </row>
    <row r="33" spans="1:93">
      <c r="A33" s="18"/>
      <c r="B33" s="714" t="s">
        <v>139</v>
      </c>
      <c r="C33" s="715" t="s">
        <v>133</v>
      </c>
      <c r="D33" s="500" t="s">
        <v>149</v>
      </c>
      <c r="E33" s="716">
        <v>2</v>
      </c>
      <c r="F33" s="18"/>
      <c r="G33" s="717" t="str">
        <f t="shared" si="9"/>
        <v>047HPL</v>
      </c>
      <c r="H33" s="377"/>
      <c r="I33" s="458" t="s">
        <v>517</v>
      </c>
      <c r="J33" s="458" t="str">
        <f>J10</f>
        <v>35' wood pole</v>
      </c>
      <c r="K33" s="458" t="s">
        <v>109</v>
      </c>
      <c r="L33" s="445" t="s">
        <v>522</v>
      </c>
      <c r="M33" s="444">
        <f t="shared" si="12"/>
        <v>541</v>
      </c>
      <c r="N33" s="444">
        <f t="shared" si="12"/>
        <v>612</v>
      </c>
      <c r="O33" s="458"/>
      <c r="P33" s="473">
        <v>24.48</v>
      </c>
      <c r="Q33" s="280">
        <v>24.48</v>
      </c>
      <c r="R33" s="458"/>
      <c r="S33" s="68">
        <f t="shared" si="14"/>
        <v>13243.68</v>
      </c>
      <c r="T33" s="68">
        <f t="shared" si="15"/>
        <v>14981.76</v>
      </c>
      <c r="U33" s="68"/>
      <c r="V33" s="444">
        <f t="shared" si="13"/>
        <v>541</v>
      </c>
      <c r="W33" s="444">
        <f t="shared" si="13"/>
        <v>612</v>
      </c>
      <c r="X33" s="458"/>
      <c r="Y33" s="68"/>
      <c r="Z33" s="458"/>
      <c r="AA33" s="444">
        <f t="shared" si="16"/>
        <v>541</v>
      </c>
      <c r="AB33" s="444">
        <f t="shared" si="17"/>
        <v>612</v>
      </c>
      <c r="AC33" s="458"/>
      <c r="AD33" s="607">
        <f>AD10</f>
        <v>27.159999999999997</v>
      </c>
      <c r="AE33" s="449">
        <f>AE10</f>
        <v>27.159999999999997</v>
      </c>
      <c r="AF33" s="458"/>
      <c r="AG33" s="68">
        <f t="shared" si="18"/>
        <v>14693.559999999998</v>
      </c>
      <c r="AH33" s="68">
        <f t="shared" si="19"/>
        <v>16621.919999999998</v>
      </c>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58"/>
      <c r="BF33" s="458"/>
      <c r="BG33" s="458"/>
      <c r="BH33" s="458"/>
      <c r="BI33" s="504"/>
      <c r="BJ33" s="504"/>
      <c r="BK33" s="504"/>
      <c r="BL33" s="504"/>
      <c r="BM33" s="504"/>
      <c r="BN33" s="504"/>
      <c r="BO33" s="504"/>
      <c r="BP33" s="458"/>
    </row>
    <row r="34" spans="1:93">
      <c r="A34" s="18"/>
      <c r="B34" s="714" t="s">
        <v>139</v>
      </c>
      <c r="C34" s="715" t="s">
        <v>133</v>
      </c>
      <c r="D34" s="714" t="s">
        <v>541</v>
      </c>
      <c r="E34" s="716">
        <v>151</v>
      </c>
      <c r="F34" s="717"/>
      <c r="G34" s="717" t="str">
        <f>IF(OR(ISBLANK(C34),ISBLANK(D34)),"",TEXT(C34,"000")&amp;TEXT(D34,"000"))</f>
        <v>047HPGL</v>
      </c>
      <c r="H34" s="466"/>
      <c r="I34" s="458" t="s">
        <v>517</v>
      </c>
      <c r="J34" s="458" t="str">
        <f>J9</f>
        <v>35' wood pole</v>
      </c>
      <c r="K34" s="458" t="s">
        <v>516</v>
      </c>
      <c r="L34" s="445" t="s">
        <v>523</v>
      </c>
      <c r="M34" s="444">
        <f t="shared" si="12"/>
        <v>564</v>
      </c>
      <c r="N34" s="444">
        <f t="shared" si="12"/>
        <v>96</v>
      </c>
      <c r="O34" s="458"/>
      <c r="P34" s="473">
        <v>31.5</v>
      </c>
      <c r="Q34" s="280">
        <v>31.5</v>
      </c>
      <c r="R34" s="458"/>
      <c r="S34" s="68">
        <f t="shared" si="14"/>
        <v>17766</v>
      </c>
      <c r="T34" s="68">
        <f t="shared" si="15"/>
        <v>3024</v>
      </c>
      <c r="U34" s="68"/>
      <c r="V34" s="444">
        <f t="shared" si="13"/>
        <v>564</v>
      </c>
      <c r="W34" s="444">
        <f t="shared" si="13"/>
        <v>96</v>
      </c>
      <c r="X34" s="458"/>
      <c r="Y34" s="68"/>
      <c r="Z34" s="458"/>
      <c r="AA34" s="444">
        <f t="shared" si="16"/>
        <v>564</v>
      </c>
      <c r="AB34" s="444">
        <f t="shared" si="17"/>
        <v>96</v>
      </c>
      <c r="AC34" s="458"/>
      <c r="AD34" s="607">
        <f>AD9</f>
        <v>34.94</v>
      </c>
      <c r="AE34" s="449">
        <f>AE9</f>
        <v>34.94</v>
      </c>
      <c r="AF34" s="458"/>
      <c r="AG34" s="68">
        <f t="shared" si="18"/>
        <v>19706.16</v>
      </c>
      <c r="AH34" s="68">
        <f t="shared" si="19"/>
        <v>3354.24</v>
      </c>
      <c r="AI34" s="458"/>
      <c r="AJ34" s="458"/>
      <c r="AK34" s="458"/>
      <c r="AL34" s="458"/>
      <c r="AM34" s="458"/>
      <c r="AN34" s="458"/>
      <c r="AO34" s="458"/>
      <c r="AP34" s="458"/>
      <c r="AQ34" s="458"/>
      <c r="AR34" s="458"/>
      <c r="AS34" s="458"/>
      <c r="AT34" s="458"/>
      <c r="AU34" s="458"/>
      <c r="AV34" s="458"/>
      <c r="AW34" s="458"/>
      <c r="AX34" s="458"/>
      <c r="AY34" s="458"/>
      <c r="AZ34" s="458"/>
      <c r="BA34" s="458"/>
      <c r="BB34" s="458"/>
      <c r="BC34" s="458"/>
      <c r="BD34" s="458"/>
      <c r="BE34" s="458"/>
      <c r="BF34" s="458"/>
      <c r="BG34" s="458"/>
      <c r="BH34" s="458"/>
      <c r="BI34" s="458"/>
      <c r="BJ34" s="458"/>
      <c r="BK34" s="458"/>
      <c r="BL34" s="458"/>
      <c r="BM34" s="458"/>
      <c r="BN34" s="458"/>
      <c r="BO34" s="458"/>
      <c r="BP34" s="458"/>
      <c r="BQ34" s="458"/>
      <c r="BR34" s="458"/>
      <c r="BS34" s="458"/>
      <c r="BT34" s="458"/>
    </row>
    <row r="35" spans="1:93" s="628" customFormat="1">
      <c r="A35" s="18"/>
      <c r="B35" s="714" t="s">
        <v>139</v>
      </c>
      <c r="C35" s="715" t="s">
        <v>133</v>
      </c>
      <c r="D35" s="500" t="s">
        <v>784</v>
      </c>
      <c r="E35" s="716">
        <v>1</v>
      </c>
      <c r="F35" s="717"/>
      <c r="G35" s="717" t="str">
        <f t="shared" ref="G35" si="20">IF(OR(ISBLANK(C35),ISBLANK(D35)),"",TEXT(C35,"000")&amp;TEXT(D35,"000"))</f>
        <v>047HPJL</v>
      </c>
      <c r="H35" s="466"/>
      <c r="I35" s="628" t="s">
        <v>517</v>
      </c>
      <c r="J35" s="380" t="s">
        <v>811</v>
      </c>
      <c r="K35" s="380" t="s">
        <v>534</v>
      </c>
      <c r="L35" s="445" t="s">
        <v>784</v>
      </c>
      <c r="M35" s="444">
        <f t="shared" si="12"/>
        <v>1</v>
      </c>
      <c r="N35" s="444">
        <f t="shared" si="12"/>
        <v>0</v>
      </c>
      <c r="P35" s="473">
        <v>42.06</v>
      </c>
      <c r="Q35" s="280">
        <v>24.48</v>
      </c>
      <c r="S35" s="68">
        <f t="shared" ref="S35" si="21">IF(AND(M35&lt;&gt;0,P35=0),#VALUE!,M35*P35)</f>
        <v>42.06</v>
      </c>
      <c r="T35" s="68">
        <f t="shared" ref="T35" si="22">IF(AND(N35&lt;&gt;0,Q35=0),#VALUE!,N35*Q35)</f>
        <v>0</v>
      </c>
      <c r="U35" s="68"/>
      <c r="V35" s="444">
        <f t="shared" si="13"/>
        <v>1</v>
      </c>
      <c r="W35" s="444">
        <f t="shared" si="13"/>
        <v>0</v>
      </c>
      <c r="Y35" s="68"/>
      <c r="AA35" s="444">
        <f t="shared" ref="AA35" si="23">M35</f>
        <v>1</v>
      </c>
      <c r="AB35" s="444">
        <f t="shared" ref="AB35" si="24">N35</f>
        <v>0</v>
      </c>
      <c r="AD35" s="607">
        <f t="shared" ref="AD35" si="25">ROUND(P35*(1+AD$1),2)</f>
        <v>46.65</v>
      </c>
      <c r="AE35" s="449">
        <f>AE10</f>
        <v>27.159999999999997</v>
      </c>
      <c r="AG35" s="68">
        <f t="shared" ref="AG35" si="26">IF(AND(AA35&lt;&gt;0,AD35=0),#VALUE!,AA35*AD35)</f>
        <v>46.65</v>
      </c>
      <c r="AH35" s="68">
        <f t="shared" ref="AH35" si="27">IF(AND(AB35&lt;&gt;0,AE35=0),#VALUE!,AB35*AE35)</f>
        <v>0</v>
      </c>
    </row>
    <row r="36" spans="1:93">
      <c r="A36" s="18"/>
      <c r="B36" s="714" t="s">
        <v>139</v>
      </c>
      <c r="C36" s="715" t="s">
        <v>133</v>
      </c>
      <c r="D36" s="714" t="s">
        <v>657</v>
      </c>
      <c r="E36" s="716">
        <v>8</v>
      </c>
      <c r="F36" s="717"/>
      <c r="G36" s="717" t="str">
        <f t="shared" ref="G36:G53" si="28">IF(OR(ISBLANK(C36),ISBLANK(D36)),"",TEXT(C36,"000")&amp;TEXT(D36,"000"))</f>
        <v>047HPKL</v>
      </c>
      <c r="H36" s="466"/>
      <c r="I36" s="458" t="s">
        <v>517</v>
      </c>
      <c r="J36" s="458" t="str">
        <f>J13</f>
        <v>25' steel pole</v>
      </c>
      <c r="K36" s="458" t="s">
        <v>516</v>
      </c>
      <c r="L36" s="445" t="s">
        <v>524</v>
      </c>
      <c r="M36" s="444">
        <f t="shared" si="12"/>
        <v>0</v>
      </c>
      <c r="N36" s="444">
        <f t="shared" si="12"/>
        <v>2</v>
      </c>
      <c r="O36" s="458"/>
      <c r="P36" s="473">
        <v>35.9</v>
      </c>
      <c r="Q36" s="280">
        <v>35.9</v>
      </c>
      <c r="R36" s="458"/>
      <c r="S36" s="68">
        <f t="shared" si="14"/>
        <v>0</v>
      </c>
      <c r="T36" s="68">
        <f t="shared" si="15"/>
        <v>71.8</v>
      </c>
      <c r="U36" s="68"/>
      <c r="V36" s="444">
        <f t="shared" si="13"/>
        <v>0</v>
      </c>
      <c r="W36" s="444">
        <f t="shared" si="13"/>
        <v>2</v>
      </c>
      <c r="X36" s="458"/>
      <c r="Y36" s="68"/>
      <c r="Z36" s="458"/>
      <c r="AA36" s="444">
        <f t="shared" si="16"/>
        <v>0</v>
      </c>
      <c r="AB36" s="444">
        <f t="shared" si="17"/>
        <v>2</v>
      </c>
      <c r="AC36" s="458"/>
      <c r="AD36" s="607">
        <f>AD13</f>
        <v>39.82</v>
      </c>
      <c r="AE36" s="449">
        <f>AE13</f>
        <v>39.82</v>
      </c>
      <c r="AF36" s="458"/>
      <c r="AG36" s="68">
        <f t="shared" si="18"/>
        <v>0</v>
      </c>
      <c r="AH36" s="68">
        <f t="shared" si="19"/>
        <v>79.64</v>
      </c>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c r="BI36" s="458"/>
      <c r="BJ36" s="458"/>
      <c r="BK36" s="458"/>
      <c r="BL36" s="458"/>
      <c r="BM36" s="458"/>
      <c r="BN36" s="458"/>
      <c r="BO36" s="458"/>
      <c r="BP36" s="458"/>
      <c r="BQ36" s="458"/>
      <c r="BR36" s="458"/>
      <c r="BS36" s="458"/>
      <c r="BT36" s="458"/>
      <c r="BU36" s="458"/>
      <c r="BV36" s="458"/>
      <c r="BW36" s="458"/>
      <c r="BX36" s="458"/>
    </row>
    <row r="37" spans="1:93">
      <c r="A37" s="18"/>
      <c r="B37" s="714" t="s">
        <v>139</v>
      </c>
      <c r="C37" s="715" t="s">
        <v>133</v>
      </c>
      <c r="D37" s="714" t="s">
        <v>525</v>
      </c>
      <c r="E37" s="716">
        <v>9</v>
      </c>
      <c r="F37" s="717"/>
      <c r="G37" s="717" t="str">
        <f t="shared" si="28"/>
        <v>047HPLL</v>
      </c>
      <c r="H37" s="466"/>
      <c r="I37" s="458" t="s">
        <v>517</v>
      </c>
      <c r="J37" s="458" t="str">
        <f>J12</f>
        <v>30' steel pole</v>
      </c>
      <c r="K37" s="458" t="s">
        <v>516</v>
      </c>
      <c r="L37" s="445" t="s">
        <v>525</v>
      </c>
      <c r="M37" s="444">
        <f t="shared" si="12"/>
        <v>9</v>
      </c>
      <c r="N37" s="444">
        <f t="shared" si="12"/>
        <v>3</v>
      </c>
      <c r="O37" s="458"/>
      <c r="P37" s="473">
        <v>41.43</v>
      </c>
      <c r="Q37" s="280">
        <v>41.43</v>
      </c>
      <c r="R37" s="458"/>
      <c r="S37" s="68">
        <f t="shared" si="14"/>
        <v>372.87</v>
      </c>
      <c r="T37" s="68">
        <f t="shared" si="15"/>
        <v>124.28999999999999</v>
      </c>
      <c r="U37" s="68"/>
      <c r="V37" s="444">
        <f t="shared" si="13"/>
        <v>9</v>
      </c>
      <c r="W37" s="444">
        <f t="shared" si="13"/>
        <v>3</v>
      </c>
      <c r="X37" s="458"/>
      <c r="Y37" s="68"/>
      <c r="Z37" s="458"/>
      <c r="AA37" s="444">
        <f t="shared" si="16"/>
        <v>9</v>
      </c>
      <c r="AB37" s="444">
        <f t="shared" si="17"/>
        <v>3</v>
      </c>
      <c r="AC37" s="458"/>
      <c r="AD37" s="607">
        <f>AD12</f>
        <v>45.96</v>
      </c>
      <c r="AE37" s="449">
        <f>AE12</f>
        <v>45.96</v>
      </c>
      <c r="AF37" s="458"/>
      <c r="AG37" s="68">
        <f t="shared" si="18"/>
        <v>413.64</v>
      </c>
      <c r="AH37" s="68">
        <f t="shared" si="19"/>
        <v>137.88</v>
      </c>
      <c r="AI37" s="458"/>
      <c r="AJ37" s="458"/>
      <c r="AK37" s="458"/>
      <c r="AL37" s="458"/>
      <c r="AM37" s="458"/>
      <c r="AN37" s="458"/>
      <c r="AO37" s="458"/>
      <c r="AP37" s="458"/>
      <c r="AQ37" s="458"/>
      <c r="AR37" s="458"/>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8"/>
      <c r="CK37" s="458"/>
      <c r="CL37" s="458"/>
      <c r="CM37" s="458"/>
      <c r="CN37" s="458"/>
      <c r="CO37" s="458"/>
    </row>
    <row r="38" spans="1:93">
      <c r="A38" s="18"/>
      <c r="B38" s="714" t="s">
        <v>139</v>
      </c>
      <c r="C38" s="715" t="s">
        <v>133</v>
      </c>
      <c r="D38" s="714" t="s">
        <v>521</v>
      </c>
      <c r="E38" s="716">
        <f>80+1</f>
        <v>81</v>
      </c>
      <c r="F38" s="717"/>
      <c r="G38" s="717" t="str">
        <f t="shared" si="28"/>
        <v>047HPSL</v>
      </c>
      <c r="H38" s="377"/>
      <c r="I38" s="458" t="s">
        <v>517</v>
      </c>
      <c r="J38" s="458" t="str">
        <f>J15</f>
        <v>30' steel pole w/2 arms</v>
      </c>
      <c r="K38" s="458" t="s">
        <v>516</v>
      </c>
      <c r="L38" s="445" t="s">
        <v>526</v>
      </c>
      <c r="M38" s="444">
        <f t="shared" si="12"/>
        <v>5</v>
      </c>
      <c r="N38" s="444">
        <f t="shared" si="12"/>
        <v>0</v>
      </c>
      <c r="O38" s="458"/>
      <c r="P38" s="473">
        <v>70.22</v>
      </c>
      <c r="Q38" s="280">
        <v>70.22</v>
      </c>
      <c r="R38" s="458"/>
      <c r="S38" s="68">
        <f t="shared" si="14"/>
        <v>351.1</v>
      </c>
      <c r="T38" s="68">
        <f t="shared" si="15"/>
        <v>0</v>
      </c>
      <c r="U38" s="68"/>
      <c r="V38" s="444">
        <f t="shared" si="13"/>
        <v>5</v>
      </c>
      <c r="W38" s="444">
        <f t="shared" si="13"/>
        <v>0</v>
      </c>
      <c r="X38" s="458"/>
      <c r="Y38" s="68"/>
      <c r="Z38" s="458"/>
      <c r="AA38" s="444">
        <f t="shared" si="16"/>
        <v>5</v>
      </c>
      <c r="AB38" s="444">
        <f t="shared" si="17"/>
        <v>0</v>
      </c>
      <c r="AC38" s="458"/>
      <c r="AD38" s="607">
        <f>AD15</f>
        <v>77.89</v>
      </c>
      <c r="AE38" s="449">
        <f>AE15</f>
        <v>77.89</v>
      </c>
      <c r="AF38" s="458"/>
      <c r="AG38" s="68">
        <f t="shared" si="18"/>
        <v>389.45</v>
      </c>
      <c r="AH38" s="68">
        <f t="shared" si="19"/>
        <v>0</v>
      </c>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8"/>
      <c r="CK38" s="458"/>
      <c r="CL38" s="458"/>
      <c r="CM38" s="458"/>
      <c r="CN38" s="458"/>
      <c r="CO38" s="458"/>
    </row>
    <row r="39" spans="1:93">
      <c r="A39" s="488"/>
      <c r="B39" s="680" t="s">
        <v>139</v>
      </c>
      <c r="C39" s="681" t="s">
        <v>133</v>
      </c>
      <c r="D39" s="680" t="s">
        <v>526</v>
      </c>
      <c r="E39" s="629">
        <v>5</v>
      </c>
      <c r="F39" s="683"/>
      <c r="G39" s="683" t="str">
        <f t="shared" si="28"/>
        <v>047HPYL</v>
      </c>
      <c r="H39" s="689"/>
      <c r="I39" s="458" t="s">
        <v>517</v>
      </c>
      <c r="J39" s="458">
        <f>J98</f>
        <v>0</v>
      </c>
      <c r="K39" s="458" t="s">
        <v>109</v>
      </c>
      <c r="L39" s="445" t="s">
        <v>527</v>
      </c>
      <c r="M39" s="444">
        <f t="shared" si="12"/>
        <v>1</v>
      </c>
      <c r="N39" s="444">
        <f t="shared" si="12"/>
        <v>0</v>
      </c>
      <c r="O39" s="458"/>
      <c r="P39" s="453">
        <v>36.47</v>
      </c>
      <c r="Q39" s="280">
        <v>36.47</v>
      </c>
      <c r="R39" s="458"/>
      <c r="S39" s="68">
        <f t="shared" si="14"/>
        <v>36.47</v>
      </c>
      <c r="T39" s="68">
        <f t="shared" si="15"/>
        <v>0</v>
      </c>
      <c r="U39" s="68"/>
      <c r="V39" s="444">
        <f t="shared" si="13"/>
        <v>1</v>
      </c>
      <c r="W39" s="444">
        <f t="shared" si="13"/>
        <v>0</v>
      </c>
      <c r="X39" s="458"/>
      <c r="Y39" s="68"/>
      <c r="Z39" s="458"/>
      <c r="AA39" s="444">
        <f t="shared" si="16"/>
        <v>1</v>
      </c>
      <c r="AB39" s="444">
        <f t="shared" si="17"/>
        <v>0</v>
      </c>
      <c r="AC39" s="458"/>
      <c r="AD39" s="607">
        <f t="shared" ref="AD39:AD40" si="29">ROUND(P39*(1+AD$1),2)</f>
        <v>40.450000000000003</v>
      </c>
      <c r="AE39" s="449">
        <f t="shared" ref="AE39:AE40" si="30">AD39</f>
        <v>40.450000000000003</v>
      </c>
      <c r="AF39" s="458"/>
      <c r="AG39" s="68">
        <f t="shared" si="18"/>
        <v>40.450000000000003</v>
      </c>
      <c r="AH39" s="68">
        <f t="shared" si="19"/>
        <v>0</v>
      </c>
      <c r="AI39" s="458"/>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458"/>
      <c r="BF39" s="458"/>
      <c r="BG39" s="458"/>
      <c r="BH39" s="458"/>
      <c r="BI39" s="458"/>
      <c r="BJ39" s="458"/>
      <c r="BK39" s="458"/>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8"/>
      <c r="CK39" s="458"/>
      <c r="CL39" s="458"/>
      <c r="CM39" s="458"/>
      <c r="CN39" s="458"/>
      <c r="CO39" s="458"/>
    </row>
    <row r="40" spans="1:93">
      <c r="B40" s="680" t="s">
        <v>139</v>
      </c>
      <c r="C40" s="690" t="s">
        <v>133</v>
      </c>
      <c r="D40" s="687" t="s">
        <v>738</v>
      </c>
      <c r="E40" s="629">
        <v>43</v>
      </c>
      <c r="F40" s="683"/>
      <c r="G40" s="683" t="str">
        <f t="shared" si="28"/>
        <v>047HPZL</v>
      </c>
      <c r="H40" s="689"/>
      <c r="I40" s="458" t="s">
        <v>517</v>
      </c>
      <c r="J40" s="458">
        <f>J99</f>
        <v>0</v>
      </c>
      <c r="K40" s="458" t="s">
        <v>109</v>
      </c>
      <c r="L40" s="445" t="s">
        <v>528</v>
      </c>
      <c r="M40" s="444">
        <f t="shared" si="12"/>
        <v>4</v>
      </c>
      <c r="N40" s="444">
        <f t="shared" si="12"/>
        <v>1</v>
      </c>
      <c r="O40" s="458"/>
      <c r="P40" s="453">
        <v>34.79</v>
      </c>
      <c r="Q40" s="280">
        <v>34.79</v>
      </c>
      <c r="R40" s="458"/>
      <c r="S40" s="68">
        <f t="shared" si="14"/>
        <v>139.16</v>
      </c>
      <c r="T40" s="68">
        <f t="shared" si="15"/>
        <v>34.79</v>
      </c>
      <c r="U40" s="68"/>
      <c r="V40" s="444">
        <f t="shared" si="13"/>
        <v>4</v>
      </c>
      <c r="W40" s="444">
        <f t="shared" si="13"/>
        <v>1</v>
      </c>
      <c r="X40" s="458"/>
      <c r="Y40" s="68"/>
      <c r="Z40" s="458"/>
      <c r="AA40" s="444">
        <f t="shared" si="16"/>
        <v>4</v>
      </c>
      <c r="AB40" s="444">
        <f t="shared" si="17"/>
        <v>1</v>
      </c>
      <c r="AC40" s="458"/>
      <c r="AD40" s="607">
        <f t="shared" si="29"/>
        <v>38.590000000000003</v>
      </c>
      <c r="AE40" s="449">
        <f t="shared" si="30"/>
        <v>38.590000000000003</v>
      </c>
      <c r="AF40" s="458"/>
      <c r="AG40" s="68">
        <f>IF(AND(AA40&lt;&gt;0,AD40=0),#VALUE!,AA40*AD40)</f>
        <v>154.36000000000001</v>
      </c>
      <c r="AH40" s="68">
        <f t="shared" si="19"/>
        <v>38.590000000000003</v>
      </c>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8"/>
      <c r="BP40" s="458"/>
      <c r="BQ40" s="458"/>
      <c r="BR40" s="458"/>
      <c r="BS40" s="458"/>
      <c r="BT40" s="458"/>
      <c r="BU40" s="458"/>
      <c r="BV40" s="458"/>
      <c r="BW40" s="458"/>
      <c r="BX40" s="458"/>
      <c r="BY40" s="458"/>
      <c r="BZ40" s="458"/>
      <c r="CA40" s="458"/>
      <c r="CB40" s="458"/>
      <c r="CC40" s="458"/>
      <c r="CD40" s="458"/>
      <c r="CE40" s="458"/>
      <c r="CF40" s="458"/>
      <c r="CG40" s="458"/>
      <c r="CH40" s="458"/>
      <c r="CI40" s="458"/>
      <c r="CJ40" s="458"/>
      <c r="CK40" s="458"/>
      <c r="CL40" s="458"/>
      <c r="CM40" s="458"/>
      <c r="CN40" s="458"/>
      <c r="CO40" s="458"/>
    </row>
    <row r="41" spans="1:93">
      <c r="A41" s="502"/>
      <c r="B41" s="680" t="s">
        <v>139</v>
      </c>
      <c r="C41" s="681" t="s">
        <v>133</v>
      </c>
      <c r="D41" s="680" t="s">
        <v>155</v>
      </c>
      <c r="E41" s="629">
        <v>67</v>
      </c>
      <c r="F41" s="683"/>
      <c r="G41" s="683" t="str">
        <f t="shared" si="28"/>
        <v>047MVA</v>
      </c>
      <c r="H41" s="689"/>
      <c r="I41" s="504" t="s">
        <v>517</v>
      </c>
      <c r="J41" s="504" t="s">
        <v>658</v>
      </c>
      <c r="K41" s="504" t="s">
        <v>109</v>
      </c>
      <c r="L41" s="287" t="s">
        <v>654</v>
      </c>
      <c r="M41" s="444">
        <f t="shared" si="12"/>
        <v>7</v>
      </c>
      <c r="N41" s="444">
        <f t="shared" si="12"/>
        <v>13</v>
      </c>
      <c r="O41" s="504"/>
      <c r="P41" s="453">
        <v>34.409999999999997</v>
      </c>
      <c r="Q41" s="280">
        <v>34.409999999999997</v>
      </c>
      <c r="R41" s="504"/>
      <c r="S41" s="68">
        <f t="shared" ref="S41:T50" si="31">IF(AND(M41&lt;&gt;0,P41=0),#VALUE!,M41*P41)</f>
        <v>240.86999999999998</v>
      </c>
      <c r="T41" s="68">
        <f t="shared" si="31"/>
        <v>447.32999999999993</v>
      </c>
      <c r="U41" s="68"/>
      <c r="V41" s="444">
        <f t="shared" si="13"/>
        <v>7</v>
      </c>
      <c r="W41" s="444">
        <f t="shared" si="13"/>
        <v>13</v>
      </c>
      <c r="X41" s="504"/>
      <c r="Y41" s="68"/>
      <c r="Z41" s="504"/>
      <c r="AA41" s="444">
        <f t="shared" ref="AA41:AB50" si="32">M41</f>
        <v>7</v>
      </c>
      <c r="AB41" s="444">
        <f t="shared" si="32"/>
        <v>13</v>
      </c>
      <c r="AC41" s="504"/>
      <c r="AD41" s="607">
        <f t="shared" ref="AD41" si="33">ROUND(P41*(1+AD$1),2)</f>
        <v>38.17</v>
      </c>
      <c r="AE41" s="79">
        <f t="shared" ref="AE41" si="34">AD41</f>
        <v>38.17</v>
      </c>
      <c r="AF41" s="504"/>
      <c r="AG41" s="68">
        <f>IF(AND(AA41&lt;&gt;0,AD41=0),#VALUE!,AA41*AD41)</f>
        <v>267.19</v>
      </c>
      <c r="AH41" s="68">
        <f t="shared" ref="AG41:AH50" si="35">IF(AND(AB41&lt;&gt;0,AE41=0),#VALUE!,AB41*AE41)</f>
        <v>496.21000000000004</v>
      </c>
      <c r="AI41" s="504"/>
      <c r="AJ41" s="504"/>
      <c r="AK41" s="504"/>
      <c r="AL41" s="504"/>
      <c r="AM41" s="504"/>
      <c r="AN41" s="504"/>
      <c r="AO41" s="504"/>
      <c r="AP41" s="504"/>
      <c r="AQ41" s="504"/>
      <c r="AR41" s="504"/>
      <c r="AS41" s="504"/>
      <c r="AT41" s="504"/>
      <c r="AU41" s="504"/>
      <c r="AV41" s="504"/>
      <c r="AW41" s="504"/>
      <c r="AX41" s="504"/>
      <c r="AY41" s="504"/>
      <c r="AZ41" s="504"/>
      <c r="BA41" s="504"/>
      <c r="BB41" s="504"/>
      <c r="BC41" s="458"/>
      <c r="BD41" s="458"/>
      <c r="BE41" s="458"/>
      <c r="BF41" s="458"/>
      <c r="BG41" s="458"/>
      <c r="BH41" s="458"/>
      <c r="BI41" s="458"/>
      <c r="BJ41" s="458"/>
      <c r="BK41" s="458"/>
      <c r="BL41" s="458"/>
      <c r="BM41" s="458"/>
      <c r="BN41" s="458"/>
      <c r="BO41" s="458"/>
      <c r="BP41" s="458"/>
      <c r="BQ41" s="458"/>
      <c r="BR41" s="458"/>
      <c r="BS41" s="458"/>
      <c r="BT41" s="458"/>
      <c r="BU41" s="458"/>
      <c r="BV41" s="458"/>
      <c r="BW41" s="458"/>
      <c r="BX41" s="458"/>
      <c r="BY41" s="458"/>
      <c r="BZ41" s="458"/>
      <c r="CA41" s="458"/>
      <c r="CB41" s="458"/>
      <c r="CC41" s="458"/>
      <c r="CD41" s="458"/>
      <c r="CE41" s="458"/>
      <c r="CF41" s="458"/>
      <c r="CG41" s="458"/>
      <c r="CH41" s="458"/>
      <c r="CI41" s="458"/>
      <c r="CJ41" s="458"/>
      <c r="CK41" s="458"/>
      <c r="CL41" s="458"/>
      <c r="CM41" s="458"/>
      <c r="CN41" s="458"/>
      <c r="CO41" s="458"/>
    </row>
    <row r="42" spans="1:93">
      <c r="B42" s="680" t="s">
        <v>139</v>
      </c>
      <c r="C42" s="681" t="s">
        <v>133</v>
      </c>
      <c r="D42" s="680" t="s">
        <v>157</v>
      </c>
      <c r="E42" s="629">
        <v>96</v>
      </c>
      <c r="F42" s="683"/>
      <c r="G42" s="683" t="str">
        <f t="shared" si="28"/>
        <v>047MVB</v>
      </c>
      <c r="H42" s="689"/>
      <c r="I42" s="504" t="s">
        <v>517</v>
      </c>
      <c r="J42" s="504" t="s">
        <v>135</v>
      </c>
      <c r="K42" s="504" t="s">
        <v>659</v>
      </c>
      <c r="L42" s="287" t="s">
        <v>655</v>
      </c>
      <c r="M42" s="444">
        <f t="shared" si="12"/>
        <v>135</v>
      </c>
      <c r="N42" s="444">
        <f t="shared" si="12"/>
        <v>18</v>
      </c>
      <c r="O42" s="504"/>
      <c r="P42" s="453">
        <v>18.559999999999999</v>
      </c>
      <c r="Q42" s="280">
        <v>18.559999999999999</v>
      </c>
      <c r="R42" s="504"/>
      <c r="S42" s="68">
        <f t="shared" si="31"/>
        <v>2505.6</v>
      </c>
      <c r="T42" s="68">
        <f t="shared" si="31"/>
        <v>334.08</v>
      </c>
      <c r="U42" s="68"/>
      <c r="V42" s="444">
        <f t="shared" si="13"/>
        <v>135</v>
      </c>
      <c r="W42" s="444">
        <f t="shared" si="13"/>
        <v>18</v>
      </c>
      <c r="X42" s="504"/>
      <c r="Y42" s="68"/>
      <c r="Z42" s="504"/>
      <c r="AA42" s="444">
        <f t="shared" si="32"/>
        <v>135</v>
      </c>
      <c r="AB42" s="444">
        <f t="shared" si="32"/>
        <v>18</v>
      </c>
      <c r="AC42" s="504"/>
      <c r="AD42" s="607">
        <f t="shared" ref="AD42:AD48" si="36">ROUND(P42*(1+AD$1),2)</f>
        <v>20.59</v>
      </c>
      <c r="AE42" s="79">
        <f t="shared" ref="AE42:AE48" si="37">AD42</f>
        <v>20.59</v>
      </c>
      <c r="AF42" s="504"/>
      <c r="AG42" s="68">
        <f>IF(AND(AA42&lt;&gt;0,AD42=0),#VALUE!,AA42*AD42)</f>
        <v>2779.65</v>
      </c>
      <c r="AH42" s="68">
        <f t="shared" si="35"/>
        <v>370.62</v>
      </c>
      <c r="AI42" s="504"/>
      <c r="AJ42" s="504"/>
      <c r="AK42" s="504"/>
      <c r="AL42" s="504"/>
      <c r="AM42" s="504"/>
      <c r="AN42" s="504"/>
      <c r="AO42" s="504"/>
      <c r="AP42" s="504"/>
      <c r="AQ42" s="504"/>
      <c r="AR42" s="504"/>
      <c r="AS42" s="504"/>
      <c r="AT42" s="504"/>
      <c r="AU42" s="504"/>
      <c r="AV42" s="504"/>
      <c r="AW42" s="504"/>
      <c r="AX42" s="504"/>
      <c r="AY42" s="504"/>
      <c r="AZ42" s="504"/>
      <c r="BA42" s="504"/>
      <c r="BB42" s="504"/>
      <c r="BC42" s="504"/>
      <c r="BD42" s="504"/>
      <c r="BE42" s="504"/>
      <c r="BF42" s="504"/>
      <c r="BG42" s="504"/>
      <c r="BH42" s="504"/>
      <c r="BI42" s="458"/>
      <c r="BJ42" s="458"/>
      <c r="BK42" s="458"/>
      <c r="BL42" s="458"/>
      <c r="BM42" s="458"/>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58"/>
      <c r="CN42" s="458"/>
      <c r="CO42" s="458"/>
    </row>
    <row r="43" spans="1:93">
      <c r="A43" s="502"/>
      <c r="B43" s="680" t="s">
        <v>139</v>
      </c>
      <c r="C43" s="681" t="s">
        <v>133</v>
      </c>
      <c r="D43" s="680" t="s">
        <v>158</v>
      </c>
      <c r="E43" s="629">
        <v>163</v>
      </c>
      <c r="F43" s="683"/>
      <c r="G43" s="683" t="str">
        <f t="shared" si="28"/>
        <v>047MVC</v>
      </c>
      <c r="H43" s="689"/>
      <c r="I43" s="504" t="s">
        <v>517</v>
      </c>
      <c r="J43" s="504" t="s">
        <v>660</v>
      </c>
      <c r="K43" s="504" t="s">
        <v>659</v>
      </c>
      <c r="L43" s="287" t="s">
        <v>656</v>
      </c>
      <c r="M43" s="444">
        <f t="shared" si="12"/>
        <v>35</v>
      </c>
      <c r="N43" s="444">
        <f t="shared" si="12"/>
        <v>2</v>
      </c>
      <c r="O43" s="504"/>
      <c r="P43" s="453">
        <v>26.32</v>
      </c>
      <c r="Q43" s="280">
        <v>26.32</v>
      </c>
      <c r="R43" s="504"/>
      <c r="S43" s="68">
        <f t="shared" si="31"/>
        <v>921.2</v>
      </c>
      <c r="T43" s="68">
        <f t="shared" si="31"/>
        <v>52.64</v>
      </c>
      <c r="U43" s="68"/>
      <c r="V43" s="444">
        <f t="shared" si="13"/>
        <v>35</v>
      </c>
      <c r="W43" s="444">
        <f t="shared" si="13"/>
        <v>2</v>
      </c>
      <c r="X43" s="504"/>
      <c r="Y43" s="68"/>
      <c r="Z43" s="504"/>
      <c r="AA43" s="444">
        <f>M43</f>
        <v>35</v>
      </c>
      <c r="AB43" s="444">
        <f t="shared" si="32"/>
        <v>2</v>
      </c>
      <c r="AC43" s="504"/>
      <c r="AD43" s="607">
        <f t="shared" si="36"/>
        <v>29.2</v>
      </c>
      <c r="AE43" s="79">
        <f t="shared" si="37"/>
        <v>29.2</v>
      </c>
      <c r="AF43" s="504"/>
      <c r="AG43" s="68">
        <f t="shared" si="35"/>
        <v>1022</v>
      </c>
      <c r="AH43" s="68">
        <f t="shared" si="35"/>
        <v>58.4</v>
      </c>
      <c r="AI43" s="504"/>
      <c r="AJ43" s="504"/>
      <c r="AK43" s="504"/>
      <c r="AL43" s="504"/>
      <c r="AM43" s="504"/>
      <c r="AN43" s="504"/>
      <c r="AO43" s="504"/>
      <c r="AP43" s="504"/>
      <c r="AQ43" s="504"/>
      <c r="AR43" s="504"/>
      <c r="AS43" s="504"/>
      <c r="AT43" s="504"/>
      <c r="AU43" s="504"/>
      <c r="AV43" s="504"/>
      <c r="AW43" s="504"/>
      <c r="AX43" s="504"/>
      <c r="AY43" s="504"/>
      <c r="AZ43" s="504"/>
      <c r="BA43" s="504"/>
      <c r="BB43" s="504"/>
      <c r="BC43" s="504"/>
      <c r="BD43" s="504"/>
      <c r="BE43" s="504"/>
      <c r="BF43" s="504"/>
      <c r="BG43" s="504"/>
      <c r="BH43" s="504"/>
      <c r="BI43" s="504"/>
      <c r="BJ43" s="504"/>
      <c r="BK43" s="504"/>
      <c r="BL43" s="504"/>
      <c r="BM43" s="504"/>
      <c r="BN43" s="504"/>
      <c r="BO43" s="504"/>
      <c r="BP43" s="504"/>
      <c r="BQ43" s="458"/>
      <c r="BR43" s="458"/>
      <c r="BS43" s="458"/>
      <c r="BT43" s="458"/>
      <c r="BU43" s="458"/>
      <c r="BV43" s="458"/>
      <c r="BW43" s="458"/>
      <c r="BX43" s="458"/>
      <c r="BY43" s="458"/>
      <c r="BZ43" s="458"/>
      <c r="CA43" s="458"/>
      <c r="CB43" s="458"/>
      <c r="CC43" s="458"/>
      <c r="CD43" s="458"/>
      <c r="CE43" s="458"/>
      <c r="CF43" s="458"/>
      <c r="CG43" s="458"/>
      <c r="CH43" s="458"/>
      <c r="CI43" s="458"/>
      <c r="CJ43" s="458"/>
      <c r="CK43" s="458"/>
      <c r="CL43" s="458"/>
      <c r="CM43" s="458"/>
      <c r="CN43" s="458"/>
      <c r="CO43" s="458"/>
    </row>
    <row r="44" spans="1:93">
      <c r="B44" s="680" t="s">
        <v>139</v>
      </c>
      <c r="C44" s="681" t="s">
        <v>133</v>
      </c>
      <c r="D44" s="680" t="s">
        <v>159</v>
      </c>
      <c r="E44" s="629">
        <v>26</v>
      </c>
      <c r="F44" s="683"/>
      <c r="G44" s="683" t="str">
        <f t="shared" si="28"/>
        <v>047MVD</v>
      </c>
      <c r="H44" s="689"/>
      <c r="I44" s="509" t="s">
        <v>517</v>
      </c>
      <c r="J44" s="509" t="s">
        <v>681</v>
      </c>
      <c r="K44" s="509" t="s">
        <v>109</v>
      </c>
      <c r="L44" s="287" t="s">
        <v>678</v>
      </c>
      <c r="M44" s="444">
        <f t="shared" ref="M44:N53" si="38">SUMIF($G:$G,TEXT(M$3,"000")&amp;TEXT($L44,"000"),$E:$E)</f>
        <v>0</v>
      </c>
      <c r="N44" s="444">
        <f t="shared" si="38"/>
        <v>0</v>
      </c>
      <c r="O44" s="509"/>
      <c r="P44" s="453">
        <v>35.24</v>
      </c>
      <c r="Q44" s="280">
        <v>35.24</v>
      </c>
      <c r="R44" s="509"/>
      <c r="S44" s="68">
        <f t="shared" si="31"/>
        <v>0</v>
      </c>
      <c r="T44" s="68">
        <f t="shared" si="31"/>
        <v>0</v>
      </c>
      <c r="U44" s="68"/>
      <c r="V44" s="444">
        <f t="shared" ref="V44:W53" si="39">SUMIF($G:$G,TEXT(V$3,"000")&amp;TEXT($L44,"000"),$E:$E)</f>
        <v>0</v>
      </c>
      <c r="W44" s="444">
        <f t="shared" si="39"/>
        <v>0</v>
      </c>
      <c r="X44" s="509"/>
      <c r="Y44" s="68"/>
      <c r="Z44" s="509"/>
      <c r="AA44" s="444">
        <f t="shared" ref="AA44:AA47" si="40">M44</f>
        <v>0</v>
      </c>
      <c r="AB44" s="444">
        <f t="shared" ref="AB44:AB47" si="41">N44</f>
        <v>0</v>
      </c>
      <c r="AC44" s="509"/>
      <c r="AD44" s="607">
        <f t="shared" ref="AD44:AD47" si="42">ROUND(P44*(1+AD$1),2)</f>
        <v>39.090000000000003</v>
      </c>
      <c r="AE44" s="79">
        <f t="shared" ref="AE44:AE47" si="43">AD44</f>
        <v>39.090000000000003</v>
      </c>
      <c r="AF44" s="509"/>
      <c r="AG44" s="68">
        <f t="shared" ref="AG44:AG47" si="44">IF(AND(AA44&lt;&gt;0,AD44=0),#VALUE!,AA44*AD44)</f>
        <v>0</v>
      </c>
      <c r="AH44" s="68">
        <f t="shared" ref="AH44:AH47" si="45">IF(AND(AB44&lt;&gt;0,AE44=0),#VALUE!,AB44*AE44)</f>
        <v>0</v>
      </c>
      <c r="AI44" s="509"/>
      <c r="AJ44" s="509"/>
      <c r="AK44" s="509"/>
      <c r="AL44" s="509"/>
      <c r="AM44" s="509"/>
      <c r="AN44" s="509"/>
      <c r="AO44" s="509"/>
      <c r="AP44" s="509"/>
      <c r="AQ44" s="509"/>
      <c r="AR44" s="509"/>
      <c r="AS44" s="509"/>
      <c r="AT44" s="509"/>
      <c r="AU44" s="509"/>
      <c r="AV44" s="509"/>
      <c r="AW44" s="509"/>
      <c r="AX44" s="509"/>
      <c r="AY44" s="509"/>
      <c r="AZ44" s="509"/>
      <c r="BA44" s="509"/>
      <c r="BB44" s="509"/>
      <c r="BC44" s="504"/>
      <c r="BD44" s="504"/>
      <c r="BE44" s="504"/>
      <c r="BF44" s="504"/>
      <c r="BG44" s="504"/>
      <c r="BH44" s="504"/>
      <c r="BI44" s="504"/>
      <c r="BJ44" s="504"/>
      <c r="BK44" s="504"/>
      <c r="BL44" s="504"/>
      <c r="BM44" s="504"/>
      <c r="BN44" s="504"/>
      <c r="BO44" s="504"/>
      <c r="BP44" s="504"/>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row>
    <row r="45" spans="1:93">
      <c r="B45" s="680" t="s">
        <v>139</v>
      </c>
      <c r="C45" s="681" t="s">
        <v>133</v>
      </c>
      <c r="D45" s="680" t="s">
        <v>160</v>
      </c>
      <c r="E45" s="629">
        <v>30</v>
      </c>
      <c r="F45" s="683"/>
      <c r="G45" s="683" t="str">
        <f t="shared" si="28"/>
        <v>047MVE</v>
      </c>
      <c r="H45" s="689"/>
      <c r="I45" s="509" t="s">
        <v>517</v>
      </c>
      <c r="J45" s="509" t="s">
        <v>682</v>
      </c>
      <c r="K45" s="509" t="s">
        <v>109</v>
      </c>
      <c r="L45" s="287" t="s">
        <v>679</v>
      </c>
      <c r="M45" s="444">
        <f t="shared" si="38"/>
        <v>9</v>
      </c>
      <c r="N45" s="444">
        <f t="shared" si="38"/>
        <v>14</v>
      </c>
      <c r="O45" s="509"/>
      <c r="P45" s="453">
        <v>32.03</v>
      </c>
      <c r="Q45" s="280">
        <v>32.03</v>
      </c>
      <c r="R45" s="509"/>
      <c r="S45" s="68">
        <f t="shared" ref="S45:S47" si="46">IF(AND(M45&lt;&gt;0,P45=0),#VALUE!,M45*P45)</f>
        <v>288.27</v>
      </c>
      <c r="T45" s="68">
        <f t="shared" ref="T45:T47" si="47">IF(AND(N45&lt;&gt;0,Q45=0),#VALUE!,N45*Q45)</f>
        <v>448.42</v>
      </c>
      <c r="U45" s="68"/>
      <c r="V45" s="444">
        <f t="shared" si="39"/>
        <v>9</v>
      </c>
      <c r="W45" s="444">
        <f t="shared" si="39"/>
        <v>14</v>
      </c>
      <c r="X45" s="509"/>
      <c r="Y45" s="68"/>
      <c r="Z45" s="509"/>
      <c r="AA45" s="444">
        <f t="shared" si="40"/>
        <v>9</v>
      </c>
      <c r="AB45" s="444">
        <f t="shared" si="41"/>
        <v>14</v>
      </c>
      <c r="AC45" s="509"/>
      <c r="AD45" s="607">
        <f t="shared" si="42"/>
        <v>35.53</v>
      </c>
      <c r="AE45" s="79">
        <f t="shared" si="43"/>
        <v>35.53</v>
      </c>
      <c r="AF45" s="509"/>
      <c r="AG45" s="68">
        <f t="shared" si="44"/>
        <v>319.77</v>
      </c>
      <c r="AH45" s="68">
        <f t="shared" si="45"/>
        <v>497.42</v>
      </c>
      <c r="AI45" s="509"/>
      <c r="AJ45" s="509"/>
      <c r="AK45" s="509"/>
      <c r="AL45" s="509"/>
      <c r="AM45" s="509"/>
      <c r="AN45" s="509"/>
      <c r="AO45" s="509"/>
      <c r="AP45" s="509"/>
      <c r="AQ45" s="509"/>
      <c r="AR45" s="509"/>
      <c r="AS45" s="509"/>
      <c r="AT45" s="509"/>
      <c r="AU45" s="509"/>
      <c r="AV45" s="509"/>
      <c r="AW45" s="509"/>
      <c r="AX45" s="509"/>
      <c r="AY45" s="509"/>
      <c r="AZ45" s="509"/>
      <c r="BA45" s="509"/>
      <c r="BB45" s="509"/>
      <c r="BC45" s="509"/>
      <c r="BD45" s="509"/>
      <c r="BE45" s="509"/>
      <c r="BF45" s="509"/>
      <c r="BG45" s="509"/>
      <c r="BH45" s="509"/>
      <c r="BI45" s="504"/>
      <c r="BJ45" s="504"/>
      <c r="BK45" s="504"/>
      <c r="BL45" s="504"/>
      <c r="BM45" s="504"/>
      <c r="BN45" s="504"/>
      <c r="BO45" s="504"/>
      <c r="BP45" s="504"/>
      <c r="BQ45" s="458"/>
      <c r="BR45" s="458"/>
      <c r="BS45" s="458"/>
      <c r="BT45" s="458"/>
      <c r="BU45" s="458"/>
      <c r="BV45" s="458"/>
      <c r="BW45" s="458"/>
      <c r="BX45" s="458"/>
      <c r="BY45" s="458"/>
      <c r="BZ45" s="458"/>
      <c r="CA45" s="458"/>
      <c r="CB45" s="458"/>
      <c r="CC45" s="458"/>
      <c r="CD45" s="458"/>
      <c r="CE45" s="458"/>
      <c r="CF45" s="458"/>
      <c r="CG45" s="458"/>
      <c r="CH45" s="458"/>
      <c r="CI45" s="458"/>
      <c r="CJ45" s="458"/>
      <c r="CK45" s="458"/>
      <c r="CL45" s="458"/>
      <c r="CM45" s="458"/>
      <c r="CN45" s="458"/>
      <c r="CO45" s="458"/>
    </row>
    <row r="46" spans="1:93">
      <c r="A46" s="502"/>
      <c r="B46" s="680" t="s">
        <v>139</v>
      </c>
      <c r="C46" s="681" t="s">
        <v>133</v>
      </c>
      <c r="D46" s="680" t="s">
        <v>161</v>
      </c>
      <c r="E46" s="629">
        <v>92</v>
      </c>
      <c r="F46" s="683"/>
      <c r="G46" s="683" t="str">
        <f t="shared" si="28"/>
        <v>047MVF</v>
      </c>
      <c r="H46" s="689"/>
      <c r="I46" s="547" t="s">
        <v>517</v>
      </c>
      <c r="J46" s="380" t="s">
        <v>740</v>
      </c>
      <c r="K46" s="380" t="s">
        <v>534</v>
      </c>
      <c r="L46" s="287" t="s">
        <v>737</v>
      </c>
      <c r="M46" s="444">
        <f t="shared" si="38"/>
        <v>20</v>
      </c>
      <c r="N46" s="444">
        <f t="shared" si="38"/>
        <v>0</v>
      </c>
      <c r="O46" s="547"/>
      <c r="P46" s="453">
        <v>21.98</v>
      </c>
      <c r="Q46" s="280">
        <v>21.98</v>
      </c>
      <c r="R46" s="547"/>
      <c r="S46" s="68">
        <f t="shared" ref="S46" si="48">IF(AND(M46&lt;&gt;0,P46=0),#VALUE!,M46*P46)</f>
        <v>439.6</v>
      </c>
      <c r="T46" s="68">
        <f t="shared" ref="T46" si="49">IF(AND(N46&lt;&gt;0,Q46=0),#VALUE!,N46*Q46)</f>
        <v>0</v>
      </c>
      <c r="U46" s="68"/>
      <c r="V46" s="444">
        <f t="shared" si="39"/>
        <v>20</v>
      </c>
      <c r="W46" s="444">
        <f t="shared" si="39"/>
        <v>0</v>
      </c>
      <c r="X46" s="547"/>
      <c r="Y46" s="68"/>
      <c r="Z46" s="547"/>
      <c r="AA46" s="444">
        <f t="shared" ref="AA46" si="50">M46</f>
        <v>20</v>
      </c>
      <c r="AB46" s="444">
        <f t="shared" ref="AB46" si="51">N46</f>
        <v>0</v>
      </c>
      <c r="AC46" s="547"/>
      <c r="AD46" s="607">
        <f t="shared" ref="AD46" si="52">ROUND(P46*(1+AD$1),2)</f>
        <v>24.38</v>
      </c>
      <c r="AE46" s="449">
        <f t="shared" ref="AE46" si="53">AD46</f>
        <v>24.38</v>
      </c>
      <c r="AF46" s="547"/>
      <c r="AG46" s="68">
        <f t="shared" ref="AG46" si="54">IF(AND(AA46&lt;&gt;0,AD46=0),#VALUE!,AA46*AD46)</f>
        <v>487.59999999999997</v>
      </c>
      <c r="AH46" s="68">
        <f t="shared" ref="AH46" si="55">IF(AND(AB46&lt;&gt;0,AE46=0),#VALUE!,AB46*AE46)</f>
        <v>0</v>
      </c>
      <c r="AI46" s="547"/>
      <c r="AJ46" s="547"/>
      <c r="AK46" s="547"/>
      <c r="AL46" s="547"/>
      <c r="AM46" s="547"/>
      <c r="AN46" s="547"/>
      <c r="AO46" s="547"/>
      <c r="AP46" s="547"/>
      <c r="AQ46" s="547"/>
      <c r="AR46" s="547"/>
      <c r="AS46" s="547"/>
      <c r="AT46" s="547"/>
      <c r="AU46" s="547"/>
      <c r="AV46" s="547"/>
      <c r="AW46" s="547"/>
      <c r="AX46" s="547"/>
      <c r="AY46" s="547"/>
      <c r="AZ46" s="547"/>
      <c r="BA46" s="547"/>
      <c r="BB46" s="547"/>
      <c r="BC46" s="509"/>
      <c r="BD46" s="509"/>
      <c r="BE46" s="509"/>
      <c r="BF46" s="509"/>
      <c r="BG46" s="509"/>
      <c r="BH46" s="509"/>
      <c r="BI46" s="509"/>
      <c r="BJ46" s="509"/>
      <c r="BK46" s="509"/>
      <c r="BL46" s="509"/>
      <c r="BM46" s="509"/>
      <c r="BN46" s="509"/>
      <c r="BO46" s="509"/>
      <c r="BP46" s="509"/>
      <c r="BQ46" s="504"/>
      <c r="BR46" s="504"/>
      <c r="BS46" s="504"/>
      <c r="BT46" s="504"/>
      <c r="BU46" s="458"/>
      <c r="BV46" s="458"/>
      <c r="BW46" s="458"/>
      <c r="BX46" s="458"/>
      <c r="BY46" s="458"/>
      <c r="BZ46" s="458"/>
      <c r="CA46" s="458"/>
      <c r="CB46" s="458"/>
      <c r="CC46" s="458"/>
      <c r="CD46" s="458"/>
      <c r="CE46" s="458"/>
      <c r="CF46" s="458"/>
      <c r="CG46" s="458"/>
      <c r="CH46" s="458"/>
      <c r="CI46" s="458"/>
      <c r="CJ46" s="458"/>
      <c r="CK46" s="458"/>
      <c r="CL46" s="458"/>
      <c r="CM46" s="458"/>
      <c r="CN46" s="458"/>
      <c r="CO46" s="458"/>
    </row>
    <row r="47" spans="1:93">
      <c r="B47" s="680" t="s">
        <v>139</v>
      </c>
      <c r="C47" s="681" t="s">
        <v>133</v>
      </c>
      <c r="D47" s="680" t="s">
        <v>162</v>
      </c>
      <c r="E47" s="691">
        <v>0</v>
      </c>
      <c r="F47" s="683"/>
      <c r="G47" s="683" t="str">
        <f t="shared" si="28"/>
        <v>047MVH</v>
      </c>
      <c r="H47" s="689"/>
      <c r="I47" s="509" t="s">
        <v>517</v>
      </c>
      <c r="J47" s="509" t="s">
        <v>683</v>
      </c>
      <c r="K47" s="509" t="s">
        <v>516</v>
      </c>
      <c r="L47" s="287" t="s">
        <v>680</v>
      </c>
      <c r="M47" s="444">
        <f t="shared" si="38"/>
        <v>19</v>
      </c>
      <c r="N47" s="444">
        <f t="shared" si="38"/>
        <v>0</v>
      </c>
      <c r="O47" s="509"/>
      <c r="P47" s="453">
        <v>35.28</v>
      </c>
      <c r="Q47" s="280">
        <v>35.28</v>
      </c>
      <c r="R47" s="509"/>
      <c r="S47" s="68">
        <f t="shared" si="46"/>
        <v>670.32</v>
      </c>
      <c r="T47" s="68">
        <f t="shared" si="47"/>
        <v>0</v>
      </c>
      <c r="U47" s="68"/>
      <c r="V47" s="444">
        <f t="shared" si="39"/>
        <v>19</v>
      </c>
      <c r="W47" s="444">
        <f t="shared" si="39"/>
        <v>0</v>
      </c>
      <c r="X47" s="509"/>
      <c r="Y47" s="68"/>
      <c r="Z47" s="509"/>
      <c r="AA47" s="444">
        <f t="shared" si="40"/>
        <v>19</v>
      </c>
      <c r="AB47" s="444">
        <f t="shared" si="41"/>
        <v>0</v>
      </c>
      <c r="AC47" s="509"/>
      <c r="AD47" s="607">
        <f t="shared" si="42"/>
        <v>39.130000000000003</v>
      </c>
      <c r="AE47" s="79">
        <f t="shared" si="43"/>
        <v>39.130000000000003</v>
      </c>
      <c r="AF47" s="509"/>
      <c r="AG47" s="68">
        <f t="shared" si="44"/>
        <v>743.47</v>
      </c>
      <c r="AH47" s="68">
        <f t="shared" si="45"/>
        <v>0</v>
      </c>
      <c r="AI47" s="509"/>
      <c r="AJ47" s="509"/>
      <c r="AK47" s="509"/>
      <c r="AL47" s="509"/>
      <c r="AM47" s="509"/>
      <c r="AN47" s="509"/>
      <c r="AO47" s="509"/>
      <c r="AP47" s="509"/>
      <c r="AQ47" s="509"/>
      <c r="AR47" s="509"/>
      <c r="AS47" s="509"/>
      <c r="AT47" s="509"/>
      <c r="AU47" s="509"/>
      <c r="AV47" s="509"/>
      <c r="AW47" s="509"/>
      <c r="AX47" s="509"/>
      <c r="AY47" s="509"/>
      <c r="AZ47" s="509"/>
      <c r="BA47" s="509"/>
      <c r="BB47" s="509"/>
      <c r="BC47" s="547"/>
      <c r="BD47" s="547"/>
      <c r="BE47" s="547"/>
      <c r="BF47" s="547"/>
      <c r="BG47" s="547"/>
      <c r="BH47" s="509"/>
      <c r="BI47" s="509"/>
      <c r="BJ47" s="509"/>
      <c r="BK47" s="509"/>
      <c r="BL47" s="509"/>
      <c r="BM47" s="509"/>
      <c r="BN47" s="509"/>
      <c r="BO47" s="509"/>
      <c r="BP47" s="509"/>
      <c r="BQ47" s="504"/>
      <c r="BR47" s="504"/>
      <c r="BS47" s="504"/>
      <c r="BT47" s="504"/>
      <c r="BU47" s="504"/>
      <c r="BV47" s="504"/>
      <c r="BW47" s="504"/>
      <c r="BX47" s="504"/>
      <c r="BY47" s="458"/>
      <c r="BZ47" s="458"/>
      <c r="CA47" s="458"/>
      <c r="CB47" s="458"/>
      <c r="CC47" s="458"/>
      <c r="CD47" s="458"/>
      <c r="CE47" s="458"/>
      <c r="CF47" s="458"/>
      <c r="CG47" s="458"/>
      <c r="CH47" s="458"/>
      <c r="CI47" s="458"/>
      <c r="CJ47" s="458"/>
      <c r="CK47" s="458"/>
      <c r="CL47" s="458"/>
      <c r="CM47" s="458"/>
      <c r="CN47" s="458"/>
      <c r="CO47" s="458"/>
    </row>
    <row r="48" spans="1:93">
      <c r="A48" s="502"/>
      <c r="B48" s="680" t="s">
        <v>139</v>
      </c>
      <c r="C48" s="681" t="s">
        <v>133</v>
      </c>
      <c r="D48" s="680" t="s">
        <v>163</v>
      </c>
      <c r="E48" s="629">
        <v>0</v>
      </c>
      <c r="F48" s="683"/>
      <c r="G48" s="683" t="str">
        <f t="shared" si="28"/>
        <v>047MVI</v>
      </c>
      <c r="H48" s="689"/>
      <c r="I48" s="504" t="s">
        <v>517</v>
      </c>
      <c r="J48" s="504" t="s">
        <v>661</v>
      </c>
      <c r="K48" s="504" t="s">
        <v>109</v>
      </c>
      <c r="L48" s="287" t="s">
        <v>657</v>
      </c>
      <c r="M48" s="444">
        <f t="shared" si="38"/>
        <v>8</v>
      </c>
      <c r="N48" s="444">
        <f t="shared" si="38"/>
        <v>0</v>
      </c>
      <c r="O48" s="504"/>
      <c r="P48" s="453">
        <v>34.409999999999997</v>
      </c>
      <c r="Q48" s="280">
        <v>34.409999999999997</v>
      </c>
      <c r="R48" s="504"/>
      <c r="S48" s="68">
        <f t="shared" si="31"/>
        <v>275.27999999999997</v>
      </c>
      <c r="T48" s="68">
        <f t="shared" si="31"/>
        <v>0</v>
      </c>
      <c r="U48" s="68"/>
      <c r="V48" s="444">
        <f t="shared" si="39"/>
        <v>8</v>
      </c>
      <c r="W48" s="444">
        <f t="shared" si="39"/>
        <v>0</v>
      </c>
      <c r="X48" s="504"/>
      <c r="Y48" s="68"/>
      <c r="Z48" s="504"/>
      <c r="AA48" s="444">
        <f t="shared" si="32"/>
        <v>8</v>
      </c>
      <c r="AB48" s="444">
        <f t="shared" si="32"/>
        <v>0</v>
      </c>
      <c r="AC48" s="504"/>
      <c r="AD48" s="607">
        <f t="shared" si="36"/>
        <v>38.17</v>
      </c>
      <c r="AE48" s="79">
        <f t="shared" si="37"/>
        <v>38.17</v>
      </c>
      <c r="AF48" s="504"/>
      <c r="AG48" s="68">
        <f>IF(AND(AA48&lt;&gt;0,AD48=0),#VALUE!,AA48*AD48)</f>
        <v>305.36</v>
      </c>
      <c r="AH48" s="68">
        <f t="shared" si="35"/>
        <v>0</v>
      </c>
      <c r="AI48" s="504"/>
      <c r="AJ48" s="504"/>
      <c r="AK48" s="504"/>
      <c r="AL48" s="504"/>
      <c r="AM48" s="504"/>
      <c r="AN48" s="504"/>
      <c r="AO48" s="504"/>
      <c r="AP48" s="504"/>
      <c r="AQ48" s="504"/>
      <c r="AR48" s="504"/>
      <c r="AS48" s="504"/>
      <c r="AT48" s="504"/>
      <c r="AU48" s="504"/>
      <c r="AV48" s="504"/>
      <c r="AW48" s="504"/>
      <c r="AX48" s="504"/>
      <c r="AY48" s="504"/>
      <c r="AZ48" s="504"/>
      <c r="BA48" s="504"/>
      <c r="BB48" s="504"/>
      <c r="BC48" s="509"/>
      <c r="BD48" s="509"/>
      <c r="BE48" s="509"/>
      <c r="BF48" s="509"/>
      <c r="BG48" s="509"/>
      <c r="BH48" s="504"/>
      <c r="BI48" s="509"/>
      <c r="BJ48" s="509"/>
      <c r="BK48" s="509"/>
      <c r="BL48" s="509"/>
      <c r="BM48" s="509"/>
      <c r="BN48" s="509"/>
      <c r="BO48" s="509"/>
      <c r="BP48" s="509"/>
      <c r="BQ48" s="504"/>
      <c r="BR48" s="504"/>
      <c r="BS48" s="504"/>
      <c r="BT48" s="504"/>
      <c r="BU48" s="504"/>
      <c r="BV48" s="504"/>
      <c r="BW48" s="504"/>
      <c r="BX48" s="504"/>
      <c r="BY48" s="504"/>
      <c r="BZ48" s="504"/>
      <c r="CA48" s="504"/>
      <c r="CB48" s="504"/>
      <c r="CC48" s="504"/>
      <c r="CD48" s="504"/>
      <c r="CE48" s="504"/>
      <c r="CF48" s="504"/>
      <c r="CG48" s="504"/>
      <c r="CH48" s="504"/>
      <c r="CI48" s="504"/>
      <c r="CJ48" s="504"/>
      <c r="CK48" s="504"/>
      <c r="CN48" s="458"/>
      <c r="CO48" s="458"/>
    </row>
    <row r="49" spans="1:93">
      <c r="B49" s="680" t="s">
        <v>139</v>
      </c>
      <c r="C49" s="681" t="s">
        <v>133</v>
      </c>
      <c r="D49" s="680" t="s">
        <v>166</v>
      </c>
      <c r="E49" s="629">
        <v>0</v>
      </c>
      <c r="F49" s="683"/>
      <c r="G49" s="683" t="str">
        <f t="shared" si="28"/>
        <v>047MVJ</v>
      </c>
      <c r="H49" s="689"/>
      <c r="I49" s="547" t="s">
        <v>517</v>
      </c>
      <c r="J49" s="380" t="s">
        <v>739</v>
      </c>
      <c r="K49" s="380" t="s">
        <v>516</v>
      </c>
      <c r="L49" s="287" t="s">
        <v>738</v>
      </c>
      <c r="M49" s="444">
        <f t="shared" si="38"/>
        <v>43</v>
      </c>
      <c r="N49" s="444">
        <f t="shared" si="38"/>
        <v>0</v>
      </c>
      <c r="O49" s="547"/>
      <c r="P49" s="473">
        <v>33.01</v>
      </c>
      <c r="Q49" s="280">
        <v>33.01</v>
      </c>
      <c r="R49" s="547"/>
      <c r="S49" s="68">
        <f t="shared" ref="S49" si="56">IF(AND(M49&lt;&gt;0,P49=0),#VALUE!,M49*P49)</f>
        <v>1419.4299999999998</v>
      </c>
      <c r="T49" s="68">
        <f t="shared" ref="T49" si="57">IF(AND(N49&lt;&gt;0,Q49=0),#VALUE!,N49*Q49)</f>
        <v>0</v>
      </c>
      <c r="U49" s="68"/>
      <c r="V49" s="444">
        <f t="shared" si="39"/>
        <v>43</v>
      </c>
      <c r="W49" s="444">
        <f t="shared" si="39"/>
        <v>0</v>
      </c>
      <c r="X49" s="547"/>
      <c r="Y49" s="68"/>
      <c r="Z49" s="547"/>
      <c r="AA49" s="444">
        <f t="shared" ref="AA49" si="58">M49</f>
        <v>43</v>
      </c>
      <c r="AB49" s="444">
        <f t="shared" ref="AB49" si="59">N49</f>
        <v>0</v>
      </c>
      <c r="AC49" s="547"/>
      <c r="AD49" s="449">
        <f t="shared" ref="AD49" si="60">ROUND(P49*(1+AD$1),2)</f>
        <v>36.619999999999997</v>
      </c>
      <c r="AE49" s="449">
        <f t="shared" ref="AE49" si="61">AD49</f>
        <v>36.619999999999997</v>
      </c>
      <c r="AF49" s="547"/>
      <c r="AG49" s="68">
        <f>IF(AND(AA49&lt;&gt;0,AD49=0),#VALUE!,AA49*AD49)</f>
        <v>1574.6599999999999</v>
      </c>
      <c r="AH49" s="68">
        <f t="shared" ref="AH49" si="62">IF(AND(AB49&lt;&gt;0,AE49=0),#VALUE!,AB49*AE49)</f>
        <v>0</v>
      </c>
      <c r="AI49" s="547"/>
      <c r="AJ49" s="547"/>
      <c r="AK49" s="547"/>
      <c r="AL49" s="547"/>
      <c r="AM49" s="547"/>
      <c r="AN49" s="547"/>
      <c r="AO49" s="547"/>
      <c r="AP49" s="547"/>
      <c r="AQ49" s="547"/>
      <c r="AR49" s="547"/>
      <c r="AS49" s="547"/>
      <c r="AT49" s="547"/>
      <c r="AU49" s="547"/>
      <c r="AV49" s="547"/>
      <c r="AW49" s="547"/>
      <c r="AX49" s="547"/>
      <c r="AY49" s="547"/>
      <c r="AZ49" s="547"/>
      <c r="BA49" s="547"/>
      <c r="BB49" s="547"/>
      <c r="BC49" s="504"/>
      <c r="BD49" s="504"/>
      <c r="BE49" s="504"/>
      <c r="BF49" s="504"/>
      <c r="BG49" s="504"/>
      <c r="BH49" s="547"/>
      <c r="BI49" s="504"/>
      <c r="BJ49" s="504"/>
      <c r="BK49" s="504"/>
      <c r="BL49" s="504"/>
      <c r="BM49" s="504"/>
      <c r="BN49" s="504"/>
      <c r="BO49" s="504"/>
      <c r="BP49" s="504"/>
      <c r="BQ49" s="509"/>
      <c r="BR49" s="509"/>
      <c r="BS49" s="509"/>
      <c r="BT49" s="509"/>
      <c r="BU49" s="504"/>
      <c r="BV49" s="504"/>
      <c r="BW49" s="504"/>
      <c r="BX49" s="504"/>
      <c r="BY49" s="504"/>
      <c r="BZ49" s="504"/>
      <c r="CA49" s="504"/>
      <c r="CB49" s="504"/>
      <c r="CC49" s="504"/>
      <c r="CD49" s="504"/>
      <c r="CE49" s="504"/>
      <c r="CF49" s="504"/>
      <c r="CG49" s="504"/>
      <c r="CH49" s="504"/>
      <c r="CI49" s="504"/>
      <c r="CJ49" s="504"/>
      <c r="CK49" s="504"/>
      <c r="CN49" s="458"/>
      <c r="CO49" s="458"/>
    </row>
    <row r="50" spans="1:93">
      <c r="B50" s="680" t="s">
        <v>139</v>
      </c>
      <c r="C50" s="681" t="s">
        <v>133</v>
      </c>
      <c r="D50" s="680" t="s">
        <v>167</v>
      </c>
      <c r="E50" s="629">
        <v>0</v>
      </c>
      <c r="F50" s="683"/>
      <c r="G50" s="683" t="str">
        <f t="shared" si="28"/>
        <v>047MVK</v>
      </c>
      <c r="H50" s="689"/>
      <c r="I50" s="480" t="s">
        <v>517</v>
      </c>
      <c r="J50" s="480" t="str">
        <f>J11</f>
        <v>35' wood pole</v>
      </c>
      <c r="K50" s="480" t="s">
        <v>534</v>
      </c>
      <c r="L50" s="445" t="s">
        <v>541</v>
      </c>
      <c r="M50" s="444">
        <f t="shared" si="38"/>
        <v>151</v>
      </c>
      <c r="N50" s="444">
        <f t="shared" si="38"/>
        <v>0</v>
      </c>
      <c r="O50" s="480"/>
      <c r="P50" s="473">
        <v>40.56</v>
      </c>
      <c r="Q50" s="280">
        <v>40.56</v>
      </c>
      <c r="R50" s="480"/>
      <c r="S50" s="68">
        <f t="shared" si="31"/>
        <v>6124.56</v>
      </c>
      <c r="T50" s="68">
        <f t="shared" si="31"/>
        <v>0</v>
      </c>
      <c r="U50" s="68"/>
      <c r="V50" s="444">
        <f t="shared" si="39"/>
        <v>151</v>
      </c>
      <c r="W50" s="444">
        <f t="shared" si="39"/>
        <v>0</v>
      </c>
      <c r="X50" s="480"/>
      <c r="Y50" s="68"/>
      <c r="Z50" s="480"/>
      <c r="AA50" s="444">
        <f t="shared" si="32"/>
        <v>151</v>
      </c>
      <c r="AB50" s="444">
        <f t="shared" si="17"/>
        <v>0</v>
      </c>
      <c r="AC50" s="480"/>
      <c r="AD50" s="607">
        <f>AD11</f>
        <v>44.99</v>
      </c>
      <c r="AE50" s="449">
        <f>AE11</f>
        <v>44.99</v>
      </c>
      <c r="AF50" s="480"/>
      <c r="AG50" s="68">
        <f>IF(AND(AA50&lt;&gt;0,AD50=0),#VALUE!,AA50*AD50)</f>
        <v>6793.4900000000007</v>
      </c>
      <c r="AH50" s="68">
        <f t="shared" si="35"/>
        <v>0</v>
      </c>
      <c r="AI50" s="480"/>
      <c r="AJ50" s="480"/>
      <c r="AK50" s="480"/>
      <c r="AL50" s="480"/>
      <c r="AM50" s="480"/>
      <c r="AN50" s="480"/>
      <c r="BC50" s="547"/>
      <c r="BD50" s="547"/>
      <c r="BE50" s="547"/>
      <c r="BF50" s="547"/>
      <c r="BG50" s="547"/>
      <c r="BI50" s="547"/>
      <c r="BJ50" s="547"/>
      <c r="BK50" s="547"/>
      <c r="BL50" s="547"/>
      <c r="BM50" s="547"/>
      <c r="BN50" s="547"/>
      <c r="BO50" s="547"/>
      <c r="BP50" s="547"/>
      <c r="BQ50" s="509"/>
      <c r="BR50" s="509"/>
      <c r="BS50" s="509"/>
      <c r="BT50" s="509"/>
      <c r="BU50" s="509"/>
      <c r="BV50" s="509"/>
      <c r="BW50" s="509"/>
      <c r="BX50" s="509"/>
      <c r="BY50" s="504"/>
      <c r="BZ50" s="504"/>
      <c r="CA50" s="504"/>
      <c r="CB50" s="504"/>
      <c r="CC50" s="504"/>
      <c r="CD50" s="504"/>
      <c r="CE50" s="504"/>
      <c r="CF50" s="504"/>
      <c r="CG50" s="504"/>
      <c r="CH50" s="504"/>
      <c r="CI50" s="504"/>
      <c r="CJ50" s="504"/>
      <c r="CK50" s="504"/>
    </row>
    <row r="51" spans="1:93">
      <c r="A51" s="502"/>
      <c r="B51" s="680" t="s">
        <v>139</v>
      </c>
      <c r="C51" s="681" t="s">
        <v>133</v>
      </c>
      <c r="D51" s="680" t="s">
        <v>168</v>
      </c>
      <c r="E51" s="629">
        <v>2</v>
      </c>
      <c r="F51" s="683"/>
      <c r="G51" s="683" t="str">
        <f t="shared" si="28"/>
        <v>047MVL</v>
      </c>
      <c r="H51" s="689"/>
      <c r="I51" s="458"/>
      <c r="L51" s="91" t="s">
        <v>176</v>
      </c>
      <c r="M51" s="67">
        <f t="shared" si="38"/>
        <v>0</v>
      </c>
      <c r="N51" s="78">
        <f t="shared" si="38"/>
        <v>0</v>
      </c>
      <c r="P51" s="92">
        <v>0</v>
      </c>
      <c r="Q51" s="131">
        <v>9.9999999999999995E-7</v>
      </c>
      <c r="S51" s="68">
        <f t="shared" si="6"/>
        <v>0</v>
      </c>
      <c r="T51" s="68">
        <f t="shared" si="1"/>
        <v>0</v>
      </c>
      <c r="U51" s="68"/>
      <c r="V51" s="67">
        <f t="shared" si="39"/>
        <v>0</v>
      </c>
      <c r="W51" s="78">
        <f t="shared" si="39"/>
        <v>0</v>
      </c>
      <c r="Y51" s="68"/>
      <c r="AA51" s="67">
        <f t="shared" si="3"/>
        <v>0</v>
      </c>
      <c r="AB51" s="67">
        <f t="shared" si="3"/>
        <v>0</v>
      </c>
      <c r="AD51" s="221">
        <f>ROUND(P51*(1+$Z$1),2)</f>
        <v>0</v>
      </c>
      <c r="AE51" s="132">
        <v>9.9999999999999995E-7</v>
      </c>
      <c r="AG51" s="68">
        <f t="shared" si="4"/>
        <v>0</v>
      </c>
      <c r="AH51" s="68">
        <f t="shared" si="5"/>
        <v>0</v>
      </c>
      <c r="BQ51" s="509"/>
      <c r="BR51" s="509"/>
      <c r="BS51" s="509"/>
      <c r="BT51" s="509"/>
      <c r="BU51" s="509"/>
      <c r="BV51" s="509"/>
      <c r="BW51" s="509"/>
      <c r="BX51" s="509"/>
      <c r="BY51" s="509"/>
      <c r="BZ51" s="509"/>
      <c r="CA51" s="509"/>
      <c r="CB51" s="509"/>
      <c r="CC51" s="509"/>
      <c r="CD51" s="509"/>
      <c r="CE51" s="509"/>
      <c r="CF51" s="509"/>
      <c r="CG51" s="509"/>
      <c r="CH51" s="509"/>
      <c r="CI51" s="509"/>
      <c r="CJ51" s="509"/>
      <c r="CK51" s="509"/>
    </row>
    <row r="52" spans="1:93">
      <c r="B52" s="680" t="s">
        <v>139</v>
      </c>
      <c r="C52" s="681" t="s">
        <v>133</v>
      </c>
      <c r="D52" s="680" t="s">
        <v>170</v>
      </c>
      <c r="E52" s="629">
        <v>0</v>
      </c>
      <c r="F52" s="683"/>
      <c r="G52" s="683" t="str">
        <f t="shared" si="28"/>
        <v>047MVO</v>
      </c>
      <c r="H52" s="689"/>
      <c r="I52" s="458"/>
      <c r="L52" s="91" t="s">
        <v>177</v>
      </c>
      <c r="M52" s="67">
        <f t="shared" si="38"/>
        <v>0</v>
      </c>
      <c r="N52" s="78">
        <f t="shared" si="38"/>
        <v>195</v>
      </c>
      <c r="P52" s="92">
        <v>0</v>
      </c>
      <c r="Q52" s="131">
        <v>9.9999999999999995E-7</v>
      </c>
      <c r="S52" s="68">
        <f t="shared" si="6"/>
        <v>0</v>
      </c>
      <c r="T52" s="68">
        <f t="shared" si="1"/>
        <v>1.95E-4</v>
      </c>
      <c r="U52" s="68"/>
      <c r="V52" s="67">
        <f t="shared" si="39"/>
        <v>0</v>
      </c>
      <c r="W52" s="78">
        <f t="shared" si="39"/>
        <v>195</v>
      </c>
      <c r="Y52" s="68"/>
      <c r="AA52" s="67">
        <f t="shared" si="3"/>
        <v>0</v>
      </c>
      <c r="AB52" s="67">
        <f t="shared" si="3"/>
        <v>195</v>
      </c>
      <c r="AD52" s="221">
        <f>ROUND(P52*(1+$Z$1),2)</f>
        <v>0</v>
      </c>
      <c r="AE52" s="132">
        <v>9.9999999999999995E-7</v>
      </c>
      <c r="AG52" s="68">
        <f t="shared" si="4"/>
        <v>0</v>
      </c>
      <c r="AH52" s="68">
        <f t="shared" si="5"/>
        <v>1.95E-4</v>
      </c>
      <c r="BQ52" s="504"/>
      <c r="BR52" s="504"/>
      <c r="BS52" s="504"/>
      <c r="BT52" s="504"/>
      <c r="BU52" s="509"/>
      <c r="BV52" s="509"/>
      <c r="BW52" s="509"/>
      <c r="BX52" s="509"/>
      <c r="BY52" s="509"/>
      <c r="BZ52" s="509"/>
      <c r="CA52" s="509"/>
      <c r="CB52" s="509"/>
      <c r="CC52" s="509"/>
      <c r="CD52" s="509"/>
      <c r="CE52" s="509"/>
      <c r="CF52" s="509"/>
      <c r="CG52" s="509"/>
      <c r="CH52" s="509"/>
      <c r="CI52" s="509"/>
      <c r="CJ52" s="509"/>
      <c r="CK52" s="509"/>
    </row>
    <row r="53" spans="1:93">
      <c r="A53" s="502"/>
      <c r="B53" s="680" t="s">
        <v>139</v>
      </c>
      <c r="C53" s="681" t="s">
        <v>133</v>
      </c>
      <c r="D53" s="680" t="s">
        <v>171</v>
      </c>
      <c r="E53" s="629">
        <v>46</v>
      </c>
      <c r="F53" s="685"/>
      <c r="G53" s="683" t="str">
        <f t="shared" si="28"/>
        <v>047PA</v>
      </c>
      <c r="H53" s="689"/>
      <c r="L53" s="91" t="s">
        <v>178</v>
      </c>
      <c r="M53" s="67">
        <f t="shared" si="38"/>
        <v>0</v>
      </c>
      <c r="N53" s="78">
        <f t="shared" si="38"/>
        <v>0</v>
      </c>
      <c r="P53" s="92">
        <v>0</v>
      </c>
      <c r="Q53" s="131">
        <v>9.9999999999999995E-7</v>
      </c>
      <c r="S53" s="68">
        <f t="shared" si="6"/>
        <v>0</v>
      </c>
      <c r="T53" s="68">
        <f t="shared" si="1"/>
        <v>0</v>
      </c>
      <c r="U53" s="68"/>
      <c r="V53" s="67">
        <f t="shared" si="39"/>
        <v>0</v>
      </c>
      <c r="W53" s="78">
        <f t="shared" si="39"/>
        <v>0</v>
      </c>
      <c r="Y53" s="68"/>
      <c r="AA53" s="67">
        <f t="shared" si="3"/>
        <v>0</v>
      </c>
      <c r="AB53" s="67">
        <f t="shared" si="3"/>
        <v>0</v>
      </c>
      <c r="AD53" s="221">
        <f>ROUND(P53*(1+$Z$1),2)</f>
        <v>0</v>
      </c>
      <c r="AE53" s="132">
        <v>9.9999999999999995E-7</v>
      </c>
      <c r="AG53" s="68">
        <f t="shared" si="4"/>
        <v>0</v>
      </c>
      <c r="AH53" s="68">
        <f t="shared" si="5"/>
        <v>0</v>
      </c>
      <c r="BU53" s="504"/>
      <c r="BV53" s="504"/>
      <c r="BW53" s="504"/>
      <c r="BX53" s="504"/>
      <c r="BY53" s="509"/>
      <c r="BZ53" s="509"/>
      <c r="CA53" s="509"/>
      <c r="CB53" s="509"/>
      <c r="CC53" s="509"/>
      <c r="CD53" s="509"/>
      <c r="CE53" s="509"/>
      <c r="CF53" s="509"/>
      <c r="CG53" s="509"/>
      <c r="CH53" s="509"/>
      <c r="CI53" s="509"/>
      <c r="CJ53" s="509"/>
      <c r="CK53" s="509"/>
    </row>
    <row r="54" spans="1:93">
      <c r="B54" s="680"/>
      <c r="C54" s="680"/>
      <c r="D54" s="680"/>
      <c r="E54" s="684">
        <f>SUM(E7:E53)</f>
        <v>5596</v>
      </c>
      <c r="F54" s="683"/>
      <c r="G54" s="683" t="str">
        <f>IF(OR(ISBLANK(C55),ISBLANK(D55)),"",TEXT(C55,"000")&amp;TEXT(D55,"000"))</f>
        <v/>
      </c>
      <c r="H54" s="689"/>
      <c r="P54" s="52"/>
      <c r="Q54" s="52"/>
      <c r="S54" s="68"/>
      <c r="T54" s="68"/>
      <c r="U54" s="68"/>
      <c r="Y54" s="68"/>
      <c r="AD54" s="52"/>
      <c r="AE54" s="52"/>
      <c r="AG54" s="68"/>
      <c r="AH54" s="68"/>
      <c r="BY54" s="504"/>
      <c r="BZ54" s="504"/>
      <c r="CA54" s="504"/>
      <c r="CB54" s="504"/>
      <c r="CC54" s="504"/>
      <c r="CD54" s="504"/>
      <c r="CE54" s="504"/>
      <c r="CF54" s="504"/>
      <c r="CG54" s="504"/>
      <c r="CH54" s="504"/>
      <c r="CI54" s="504"/>
      <c r="CJ54" s="504"/>
      <c r="CK54" s="504"/>
    </row>
    <row r="55" spans="1:93">
      <c r="A55" s="502"/>
      <c r="B55" s="680"/>
      <c r="C55" s="680"/>
      <c r="D55" s="680"/>
      <c r="E55" s="683"/>
      <c r="F55" s="683"/>
      <c r="G55" s="683"/>
      <c r="H55" s="689"/>
      <c r="K55" s="443" t="s">
        <v>64</v>
      </c>
      <c r="M55" s="73">
        <f>SUM(M4:M54)</f>
        <v>5596</v>
      </c>
      <c r="N55" s="73">
        <f>SUM(N4:N54)</f>
        <v>4062</v>
      </c>
      <c r="S55" s="74">
        <f>SUM(S4:S54)</f>
        <v>143700.91000000003</v>
      </c>
      <c r="T55" s="74">
        <f>SUM(T4:T54)</f>
        <v>84277.140194999985</v>
      </c>
      <c r="U55" s="74"/>
      <c r="V55" s="73">
        <f>SUM(V4:V54)</f>
        <v>5596</v>
      </c>
      <c r="W55" s="73">
        <f>SUM(W4:W54)</f>
        <v>4062</v>
      </c>
      <c r="Y55" s="340"/>
      <c r="AA55" s="73">
        <f>SUM(AA4:AA54)</f>
        <v>5596</v>
      </c>
      <c r="AB55" s="73">
        <f>SUM(AB4:AB54)</f>
        <v>4062</v>
      </c>
      <c r="AG55" s="74">
        <f>SUM(AG4:AG54)</f>
        <v>159398.93</v>
      </c>
      <c r="AH55" s="74">
        <f>SUM(AH4:AH54)</f>
        <v>93490.750195000001</v>
      </c>
    </row>
    <row r="56" spans="1:93">
      <c r="B56" s="680" t="s">
        <v>139</v>
      </c>
      <c r="C56" s="681" t="s">
        <v>134</v>
      </c>
      <c r="D56" s="680" t="s">
        <v>136</v>
      </c>
      <c r="E56" s="629">
        <v>2</v>
      </c>
      <c r="F56" s="70"/>
      <c r="G56" s="70" t="str">
        <f t="shared" ref="G56:G78" si="63">IF(OR(ISBLANK(C56),ISBLANK(D56)),"",TEXT(C56,"000")&amp;TEXT(D56,"000"))</f>
        <v>048HAH</v>
      </c>
      <c r="H56" s="369"/>
      <c r="N56" s="67">
        <f>SUM(M55:N55)</f>
        <v>9658</v>
      </c>
      <c r="S56" s="68"/>
      <c r="T56" s="75">
        <f>ROUND(SUM(S55:T55),2)</f>
        <v>227978.05</v>
      </c>
      <c r="U56" s="75"/>
      <c r="W56" s="67">
        <f>SUM(V55:W55)</f>
        <v>9658</v>
      </c>
      <c r="Y56" s="75"/>
      <c r="AB56" s="67">
        <f>SUM(AA55:AB55)</f>
        <v>9658</v>
      </c>
      <c r="AG56" s="68"/>
      <c r="AH56" s="75">
        <f>ROUND(SUM(AG55:AH55),2)</f>
        <v>252889.68</v>
      </c>
    </row>
    <row r="57" spans="1:93">
      <c r="B57" s="680" t="s">
        <v>139</v>
      </c>
      <c r="C57" s="681" t="s">
        <v>134</v>
      </c>
      <c r="D57" s="680" t="s">
        <v>138</v>
      </c>
      <c r="E57" s="629">
        <v>2</v>
      </c>
      <c r="F57" s="70"/>
      <c r="G57" s="70" t="str">
        <f t="shared" si="63"/>
        <v>048HAI</v>
      </c>
      <c r="H57" s="369"/>
      <c r="I57" s="461">
        <f>'St Lts'!I107</f>
        <v>0</v>
      </c>
      <c r="J57" s="18"/>
      <c r="K57" s="82"/>
      <c r="L57" s="18"/>
      <c r="M57" s="18"/>
      <c r="N57" s="70">
        <f>ROUND(N56-E100,0)</f>
        <v>0</v>
      </c>
      <c r="S57" s="93"/>
      <c r="T57" s="93"/>
      <c r="U57" s="93"/>
      <c r="W57" s="70"/>
      <c r="Y57" s="93"/>
      <c r="Z57" s="294"/>
      <c r="AB57" s="70">
        <f>AB56-N56</f>
        <v>0</v>
      </c>
      <c r="AH57" s="81">
        <f>AH56/T56-1</f>
        <v>0.10927205491932224</v>
      </c>
    </row>
    <row r="58" spans="1:93">
      <c r="B58" s="680" t="s">
        <v>139</v>
      </c>
      <c r="C58" s="681" t="s">
        <v>134</v>
      </c>
      <c r="D58" s="680" t="s">
        <v>140</v>
      </c>
      <c r="E58" s="629">
        <v>0</v>
      </c>
      <c r="F58" s="70"/>
      <c r="G58" s="70" t="str">
        <f t="shared" si="63"/>
        <v>048HAP</v>
      </c>
      <c r="H58" s="369"/>
      <c r="P58" s="92"/>
      <c r="R58" s="18"/>
      <c r="S58" s="133">
        <f>S55-S57</f>
        <v>143700.91000000003</v>
      </c>
      <c r="T58" s="133">
        <f>T55-T57</f>
        <v>84277.140194999985</v>
      </c>
      <c r="U58" s="340"/>
      <c r="Y58" s="340"/>
    </row>
    <row r="59" spans="1:93">
      <c r="B59" s="680" t="s">
        <v>139</v>
      </c>
      <c r="C59" s="681" t="s">
        <v>134</v>
      </c>
      <c r="D59" s="680" t="s">
        <v>141</v>
      </c>
      <c r="E59" s="629">
        <v>262</v>
      </c>
      <c r="F59" s="70"/>
      <c r="G59" s="70" t="str">
        <f t="shared" si="63"/>
        <v>048HPA</v>
      </c>
      <c r="H59" s="369"/>
      <c r="I59" s="43"/>
      <c r="P59" s="92"/>
      <c r="R59" s="18"/>
      <c r="S59" s="18"/>
      <c r="T59" s="527"/>
      <c r="U59" s="75"/>
      <c r="Y59" s="75"/>
    </row>
    <row r="60" spans="1:93">
      <c r="B60" s="680" t="s">
        <v>139</v>
      </c>
      <c r="C60" s="681" t="s">
        <v>134</v>
      </c>
      <c r="D60" s="680" t="s">
        <v>519</v>
      </c>
      <c r="E60" s="629">
        <v>1281</v>
      </c>
      <c r="F60" s="70"/>
      <c r="G60" s="70" t="str">
        <f t="shared" si="63"/>
        <v>048HPAL</v>
      </c>
      <c r="H60" s="369"/>
      <c r="P60" s="92"/>
      <c r="Q60" s="469"/>
      <c r="R60" s="469"/>
      <c r="S60" s="251"/>
      <c r="T60" s="475"/>
      <c r="U60" s="475"/>
      <c r="V60" s="469"/>
      <c r="W60" s="469"/>
      <c r="X60" s="469"/>
      <c r="Y60" s="475"/>
      <c r="Z60" s="469"/>
      <c r="AA60" s="469"/>
      <c r="AB60" s="469"/>
      <c r="AC60" s="469"/>
      <c r="AD60" s="469"/>
      <c r="AE60" s="247"/>
      <c r="AF60" s="247"/>
      <c r="AG60" s="528"/>
      <c r="AH60" s="247"/>
    </row>
    <row r="61" spans="1:93">
      <c r="B61" s="680" t="s">
        <v>139</v>
      </c>
      <c r="C61" s="681" t="s">
        <v>134</v>
      </c>
      <c r="D61" s="680" t="s">
        <v>143</v>
      </c>
      <c r="E61" s="629">
        <v>318</v>
      </c>
      <c r="F61" s="70"/>
      <c r="G61" s="70" t="str">
        <f t="shared" si="63"/>
        <v>048HPB</v>
      </c>
      <c r="H61" s="369"/>
      <c r="Q61" s="469"/>
      <c r="R61" s="469"/>
      <c r="S61" s="469"/>
      <c r="T61" s="469"/>
      <c r="U61" s="469"/>
      <c r="V61" s="469"/>
      <c r="W61" s="469"/>
      <c r="X61" s="469"/>
      <c r="Y61" s="469"/>
      <c r="Z61" s="469"/>
      <c r="AA61" s="469"/>
      <c r="AB61" s="469"/>
      <c r="AC61" s="469"/>
      <c r="AD61" s="469"/>
      <c r="AE61" s="247"/>
      <c r="AF61" s="247"/>
      <c r="AG61" s="247"/>
      <c r="AH61" s="247"/>
    </row>
    <row r="62" spans="1:93">
      <c r="B62" s="680" t="s">
        <v>139</v>
      </c>
      <c r="C62" s="681" t="s">
        <v>134</v>
      </c>
      <c r="D62" s="680" t="s">
        <v>520</v>
      </c>
      <c r="E62" s="629">
        <v>193</v>
      </c>
      <c r="F62" s="70"/>
      <c r="G62" s="70" t="str">
        <f t="shared" si="63"/>
        <v>048HPBL</v>
      </c>
      <c r="H62" s="369"/>
      <c r="Q62" s="447"/>
      <c r="R62" s="524"/>
      <c r="S62" s="525"/>
      <c r="T62" s="525"/>
      <c r="U62" s="136"/>
      <c r="V62" s="469"/>
      <c r="W62" s="469"/>
      <c r="X62" s="469"/>
      <c r="Y62" s="136"/>
      <c r="Z62" s="469"/>
      <c r="AA62" s="469"/>
      <c r="AB62" s="469"/>
      <c r="AC62" s="469"/>
      <c r="AD62" s="469"/>
      <c r="AE62" s="247"/>
      <c r="AF62" s="248"/>
      <c r="AG62" s="529"/>
      <c r="AH62" s="529"/>
    </row>
    <row r="63" spans="1:93">
      <c r="B63" s="680" t="s">
        <v>139</v>
      </c>
      <c r="C63" s="681" t="s">
        <v>134</v>
      </c>
      <c r="D63" s="680" t="s">
        <v>144</v>
      </c>
      <c r="E63" s="629">
        <v>7</v>
      </c>
      <c r="F63" s="70"/>
      <c r="G63" s="70" t="str">
        <f t="shared" si="63"/>
        <v>048HPC</v>
      </c>
      <c r="H63" s="369"/>
      <c r="Q63" s="447"/>
      <c r="R63" s="524"/>
      <c r="S63" s="526"/>
      <c r="T63" s="526"/>
      <c r="U63" s="476"/>
      <c r="V63" s="469"/>
      <c r="W63" s="469"/>
      <c r="X63" s="469"/>
      <c r="Y63" s="476"/>
      <c r="Z63" s="469"/>
      <c r="AA63" s="469"/>
      <c r="AB63" s="469"/>
      <c r="AC63" s="469"/>
      <c r="AD63" s="469"/>
      <c r="AE63" s="247"/>
      <c r="AF63" s="248"/>
      <c r="AG63" s="530"/>
      <c r="AH63" s="530"/>
    </row>
    <row r="64" spans="1:93">
      <c r="B64" s="680" t="s">
        <v>139</v>
      </c>
      <c r="C64" s="681" t="s">
        <v>134</v>
      </c>
      <c r="D64" s="680" t="s">
        <v>540</v>
      </c>
      <c r="E64" s="629">
        <v>7</v>
      </c>
      <c r="F64" s="70"/>
      <c r="G64" s="70" t="str">
        <f t="shared" si="63"/>
        <v>048HPCL</v>
      </c>
      <c r="H64" s="369"/>
      <c r="Q64" s="469"/>
      <c r="R64" s="469"/>
      <c r="S64" s="340">
        <f>S62+S63</f>
        <v>0</v>
      </c>
      <c r="T64" s="340">
        <f>T62+T63</f>
        <v>0</v>
      </c>
      <c r="U64" s="340"/>
      <c r="V64" s="469"/>
      <c r="W64" s="469"/>
      <c r="X64" s="469"/>
      <c r="Y64" s="340"/>
      <c r="Z64" s="469"/>
      <c r="AA64" s="469"/>
      <c r="AB64" s="469"/>
      <c r="AC64" s="469"/>
      <c r="AD64" s="469"/>
      <c r="AE64" s="247"/>
      <c r="AF64" s="247"/>
      <c r="AG64" s="531"/>
      <c r="AH64" s="531"/>
    </row>
    <row r="65" spans="1:34">
      <c r="B65" s="680" t="s">
        <v>139</v>
      </c>
      <c r="C65" s="681" t="s">
        <v>134</v>
      </c>
      <c r="D65" s="680" t="s">
        <v>145</v>
      </c>
      <c r="E65" s="629">
        <v>150</v>
      </c>
      <c r="F65" s="70"/>
      <c r="G65" s="70" t="str">
        <f t="shared" si="63"/>
        <v>048HPD</v>
      </c>
      <c r="H65" s="369"/>
      <c r="J65" s="18"/>
      <c r="Q65" s="469"/>
      <c r="R65" s="469"/>
      <c r="S65" s="469"/>
      <c r="T65" s="68">
        <f>S64+T64</f>
        <v>0</v>
      </c>
      <c r="U65" s="68"/>
      <c r="V65" s="469"/>
      <c r="W65" s="469"/>
      <c r="X65" s="469"/>
      <c r="Y65" s="68"/>
      <c r="Z65" s="469"/>
      <c r="AA65" s="469"/>
      <c r="AB65" s="469"/>
      <c r="AC65" s="469"/>
      <c r="AD65" s="469"/>
      <c r="AE65" s="247"/>
      <c r="AF65" s="247"/>
      <c r="AG65" s="247"/>
      <c r="AH65" s="531"/>
    </row>
    <row r="66" spans="1:34">
      <c r="A66" s="286"/>
      <c r="B66" s="680" t="s">
        <v>139</v>
      </c>
      <c r="C66" s="681" t="s">
        <v>134</v>
      </c>
      <c r="D66" s="680" t="s">
        <v>523</v>
      </c>
      <c r="E66" s="629">
        <v>96</v>
      </c>
      <c r="F66" s="70"/>
      <c r="G66" s="70" t="str">
        <f t="shared" si="63"/>
        <v>048HPDL</v>
      </c>
      <c r="H66" s="369"/>
      <c r="J66" s="18"/>
    </row>
    <row r="67" spans="1:34">
      <c r="B67" s="680" t="s">
        <v>139</v>
      </c>
      <c r="C67" s="681" t="s">
        <v>134</v>
      </c>
      <c r="D67" s="680" t="s">
        <v>147</v>
      </c>
      <c r="E67" s="629">
        <v>117</v>
      </c>
      <c r="F67" s="70"/>
      <c r="G67" s="70" t="str">
        <f t="shared" si="63"/>
        <v>048HPE</v>
      </c>
      <c r="H67" s="369"/>
    </row>
    <row r="68" spans="1:34">
      <c r="B68" s="680" t="s">
        <v>139</v>
      </c>
      <c r="C68" s="681" t="s">
        <v>134</v>
      </c>
      <c r="D68" s="680" t="s">
        <v>522</v>
      </c>
      <c r="E68" s="629">
        <v>612</v>
      </c>
      <c r="F68" s="70"/>
      <c r="G68" s="70" t="str">
        <f t="shared" si="63"/>
        <v>048HPEL</v>
      </c>
      <c r="H68" s="369"/>
      <c r="S68" s="466"/>
      <c r="T68" s="466"/>
      <c r="X68" s="416" t="s">
        <v>480</v>
      </c>
    </row>
    <row r="69" spans="1:34">
      <c r="B69" s="680" t="s">
        <v>139</v>
      </c>
      <c r="C69" s="681" t="s">
        <v>134</v>
      </c>
      <c r="D69" s="680" t="s">
        <v>148</v>
      </c>
      <c r="E69" s="629">
        <v>3</v>
      </c>
      <c r="F69" s="70"/>
      <c r="G69" s="70" t="str">
        <f t="shared" si="63"/>
        <v>048HPG</v>
      </c>
      <c r="H69" s="369"/>
      <c r="S69" s="18"/>
      <c r="T69" s="18"/>
      <c r="X69" s="338" t="s">
        <v>404</v>
      </c>
    </row>
    <row r="70" spans="1:34">
      <c r="B70" s="680" t="s">
        <v>139</v>
      </c>
      <c r="C70" s="681" t="s">
        <v>134</v>
      </c>
      <c r="D70" s="680" t="s">
        <v>149</v>
      </c>
      <c r="E70" s="629">
        <v>7</v>
      </c>
      <c r="F70" s="70"/>
      <c r="G70" s="70" t="str">
        <f t="shared" si="63"/>
        <v>048HPL</v>
      </c>
      <c r="H70" s="369"/>
      <c r="S70" s="18"/>
      <c r="T70" s="18"/>
    </row>
    <row r="71" spans="1:34">
      <c r="B71" s="680" t="s">
        <v>139</v>
      </c>
      <c r="C71" s="681" t="s">
        <v>134</v>
      </c>
      <c r="D71" s="680" t="s">
        <v>525</v>
      </c>
      <c r="E71" s="629">
        <v>3</v>
      </c>
      <c r="F71" s="70"/>
      <c r="G71" s="70" t="str">
        <f t="shared" si="63"/>
        <v>048HPLL</v>
      </c>
      <c r="H71" s="369"/>
      <c r="S71" s="18"/>
      <c r="T71" s="18"/>
    </row>
    <row r="72" spans="1:34">
      <c r="B72" s="680" t="s">
        <v>139</v>
      </c>
      <c r="C72" s="681" t="s">
        <v>134</v>
      </c>
      <c r="D72" s="680" t="s">
        <v>152</v>
      </c>
      <c r="E72" s="629">
        <v>0</v>
      </c>
      <c r="F72" s="70"/>
      <c r="G72" s="70" t="str">
        <f t="shared" si="63"/>
        <v>048HPO</v>
      </c>
      <c r="H72" s="369"/>
      <c r="S72" s="466"/>
      <c r="T72" s="466"/>
    </row>
    <row r="73" spans="1:34">
      <c r="B73" s="680" t="s">
        <v>139</v>
      </c>
      <c r="C73" s="681" t="s">
        <v>134</v>
      </c>
      <c r="D73" s="680" t="s">
        <v>524</v>
      </c>
      <c r="E73" s="629">
        <v>2</v>
      </c>
      <c r="F73" s="70"/>
      <c r="G73" s="70" t="str">
        <f t="shared" si="63"/>
        <v>048HPOL</v>
      </c>
      <c r="H73" s="369"/>
    </row>
    <row r="74" spans="1:34">
      <c r="B74" s="680" t="s">
        <v>139</v>
      </c>
      <c r="C74" s="681" t="s">
        <v>134</v>
      </c>
      <c r="D74" s="680" t="s">
        <v>150</v>
      </c>
      <c r="E74" s="629">
        <v>86</v>
      </c>
      <c r="F74" s="70"/>
      <c r="G74" s="70" t="str">
        <f t="shared" si="63"/>
        <v>048HPS</v>
      </c>
      <c r="H74" s="369"/>
    </row>
    <row r="75" spans="1:34">
      <c r="B75" s="680" t="s">
        <v>139</v>
      </c>
      <c r="C75" s="681" t="s">
        <v>134</v>
      </c>
      <c r="D75" s="680" t="s">
        <v>521</v>
      </c>
      <c r="E75" s="629">
        <v>291</v>
      </c>
      <c r="F75" s="70"/>
      <c r="G75" s="70" t="str">
        <f t="shared" si="63"/>
        <v>048HPSL</v>
      </c>
      <c r="H75" s="369"/>
    </row>
    <row r="76" spans="1:34">
      <c r="B76" s="680" t="s">
        <v>139</v>
      </c>
      <c r="C76" s="681" t="s">
        <v>134</v>
      </c>
      <c r="D76" s="680" t="s">
        <v>654</v>
      </c>
      <c r="E76" s="629">
        <v>13</v>
      </c>
      <c r="F76" s="70"/>
      <c r="G76" s="70" t="str">
        <f t="shared" si="63"/>
        <v>048HAAL</v>
      </c>
      <c r="H76" s="369"/>
    </row>
    <row r="77" spans="1:34">
      <c r="B77" s="680" t="s">
        <v>139</v>
      </c>
      <c r="C77" s="681" t="s">
        <v>134</v>
      </c>
      <c r="D77" s="680" t="s">
        <v>655</v>
      </c>
      <c r="E77" s="629">
        <v>18</v>
      </c>
      <c r="F77" s="70"/>
      <c r="G77" s="70" t="str">
        <f t="shared" si="63"/>
        <v>048HAML</v>
      </c>
      <c r="H77" s="369"/>
    </row>
    <row r="78" spans="1:34">
      <c r="B78" s="680" t="s">
        <v>139</v>
      </c>
      <c r="C78" s="681" t="s">
        <v>134</v>
      </c>
      <c r="D78" s="680" t="s">
        <v>656</v>
      </c>
      <c r="E78" s="629">
        <v>2</v>
      </c>
      <c r="F78" s="683"/>
      <c r="G78" s="683" t="str">
        <f t="shared" si="63"/>
        <v>048HANL</v>
      </c>
      <c r="H78" s="369"/>
    </row>
    <row r="79" spans="1:34">
      <c r="B79" s="680" t="s">
        <v>139</v>
      </c>
      <c r="C79" s="690" t="s">
        <v>134</v>
      </c>
      <c r="D79" s="687" t="s">
        <v>679</v>
      </c>
      <c r="E79" s="629">
        <v>14</v>
      </c>
      <c r="F79" s="70"/>
      <c r="G79" s="70" t="str">
        <f t="shared" ref="G79" si="64">IF(OR(ISBLANK(C79),ISBLANK(D79)),"",TEXT(C79,"000")&amp;TEXT(D79,"000"))</f>
        <v>048HAOL</v>
      </c>
      <c r="H79" s="369"/>
    </row>
    <row r="80" spans="1:34">
      <c r="B80" s="680" t="s">
        <v>139</v>
      </c>
      <c r="C80" s="681" t="s">
        <v>134</v>
      </c>
      <c r="D80" s="680" t="s">
        <v>528</v>
      </c>
      <c r="E80" s="629">
        <v>1</v>
      </c>
      <c r="F80" s="70"/>
      <c r="G80" s="70" t="str">
        <f t="shared" ref="G80:G97" si="65">IF(OR(ISBLANK(C80),ISBLANK(D80)),"",TEXT(C80,"000")&amp;TEXT(D80,"000"))</f>
        <v>048HAPL</v>
      </c>
      <c r="H80" s="369"/>
    </row>
    <row r="81" spans="2:8">
      <c r="B81" s="680" t="s">
        <v>139</v>
      </c>
      <c r="C81" s="681" t="s">
        <v>134</v>
      </c>
      <c r="D81" s="680" t="s">
        <v>657</v>
      </c>
      <c r="E81" s="629">
        <v>0</v>
      </c>
      <c r="F81" s="70"/>
      <c r="G81" s="70" t="str">
        <f t="shared" si="65"/>
        <v>048HPKL</v>
      </c>
      <c r="H81" s="369"/>
    </row>
    <row r="82" spans="2:8">
      <c r="B82" s="680" t="s">
        <v>139</v>
      </c>
      <c r="C82" s="681" t="s">
        <v>134</v>
      </c>
      <c r="D82" s="680" t="s">
        <v>155</v>
      </c>
      <c r="E82" s="629">
        <v>131</v>
      </c>
      <c r="F82" s="70"/>
      <c r="G82" s="70" t="str">
        <f t="shared" si="65"/>
        <v>048MVA</v>
      </c>
      <c r="H82" s="369"/>
    </row>
    <row r="83" spans="2:8">
      <c r="B83" s="680" t="s">
        <v>139</v>
      </c>
      <c r="C83" s="681" t="s">
        <v>134</v>
      </c>
      <c r="D83" s="680" t="s">
        <v>157</v>
      </c>
      <c r="E83" s="629">
        <v>133</v>
      </c>
      <c r="F83" s="70"/>
      <c r="G83" s="70" t="str">
        <f t="shared" si="65"/>
        <v>048MVB</v>
      </c>
      <c r="H83" s="369"/>
    </row>
    <row r="84" spans="2:8">
      <c r="B84" s="680" t="s">
        <v>139</v>
      </c>
      <c r="C84" s="681" t="s">
        <v>134</v>
      </c>
      <c r="D84" s="680" t="s">
        <v>158</v>
      </c>
      <c r="E84" s="629">
        <v>10</v>
      </c>
      <c r="F84" s="71"/>
      <c r="G84" s="70" t="str">
        <f t="shared" si="65"/>
        <v>048MVC</v>
      </c>
      <c r="H84" s="369"/>
    </row>
    <row r="85" spans="2:8">
      <c r="B85" s="680" t="s">
        <v>139</v>
      </c>
      <c r="C85" s="681" t="s">
        <v>134</v>
      </c>
      <c r="D85" s="680" t="s">
        <v>159</v>
      </c>
      <c r="E85" s="629">
        <v>60</v>
      </c>
      <c r="G85" s="70" t="str">
        <f t="shared" si="65"/>
        <v>048MVD</v>
      </c>
      <c r="H85" s="369"/>
    </row>
    <row r="86" spans="2:8">
      <c r="B86" s="680" t="s">
        <v>139</v>
      </c>
      <c r="C86" s="681" t="s">
        <v>134</v>
      </c>
      <c r="D86" s="680" t="s">
        <v>160</v>
      </c>
      <c r="E86" s="629">
        <v>28</v>
      </c>
      <c r="F86" s="70"/>
      <c r="G86" s="70" t="str">
        <f t="shared" si="65"/>
        <v>048MVE</v>
      </c>
      <c r="H86" s="369"/>
    </row>
    <row r="87" spans="2:8">
      <c r="B87" s="680" t="s">
        <v>139</v>
      </c>
      <c r="C87" s="681" t="s">
        <v>134</v>
      </c>
      <c r="D87" s="680" t="s">
        <v>161</v>
      </c>
      <c r="E87" s="629">
        <v>11</v>
      </c>
      <c r="F87" s="70"/>
      <c r="G87" s="70" t="str">
        <f t="shared" si="65"/>
        <v>048MVF</v>
      </c>
      <c r="H87" s="369"/>
    </row>
    <row r="88" spans="2:8">
      <c r="B88" s="680" t="s">
        <v>139</v>
      </c>
      <c r="C88" s="681" t="s">
        <v>134</v>
      </c>
      <c r="D88" s="680" t="s">
        <v>165</v>
      </c>
      <c r="E88" s="629">
        <v>0</v>
      </c>
      <c r="F88" s="70"/>
      <c r="G88" s="70" t="str">
        <f t="shared" si="65"/>
        <v>048MVG</v>
      </c>
      <c r="H88" s="369"/>
    </row>
    <row r="89" spans="2:8">
      <c r="B89" s="680" t="s">
        <v>139</v>
      </c>
      <c r="C89" s="681" t="s">
        <v>134</v>
      </c>
      <c r="D89" s="680" t="s">
        <v>162</v>
      </c>
      <c r="E89" s="629">
        <v>0</v>
      </c>
      <c r="F89" s="70"/>
      <c r="G89" s="70" t="str">
        <f t="shared" si="65"/>
        <v>048MVH</v>
      </c>
      <c r="H89" s="369"/>
    </row>
    <row r="90" spans="2:8">
      <c r="B90" s="680" t="s">
        <v>139</v>
      </c>
      <c r="C90" s="681" t="s">
        <v>134</v>
      </c>
      <c r="D90" s="680" t="s">
        <v>167</v>
      </c>
      <c r="E90" s="629">
        <v>3</v>
      </c>
      <c r="F90" s="70"/>
      <c r="G90" s="70" t="str">
        <f t="shared" si="65"/>
        <v>048MVK</v>
      </c>
      <c r="H90" s="548"/>
    </row>
    <row r="91" spans="2:8">
      <c r="B91" s="680" t="s">
        <v>139</v>
      </c>
      <c r="C91" s="681" t="s">
        <v>134</v>
      </c>
      <c r="D91" s="680" t="s">
        <v>172</v>
      </c>
      <c r="E91" s="629">
        <v>0</v>
      </c>
      <c r="F91" s="70"/>
      <c r="G91" s="70" t="str">
        <f t="shared" si="65"/>
        <v>048MVN</v>
      </c>
      <c r="H91" s="371"/>
    </row>
    <row r="92" spans="2:8">
      <c r="B92" s="680" t="s">
        <v>139</v>
      </c>
      <c r="C92" s="681" t="s">
        <v>134</v>
      </c>
      <c r="D92" s="680" t="s">
        <v>390</v>
      </c>
      <c r="E92" s="629">
        <v>2</v>
      </c>
      <c r="G92" s="70" t="str">
        <f t="shared" si="65"/>
        <v>048MVV</v>
      </c>
      <c r="H92" s="369"/>
    </row>
    <row r="93" spans="2:8">
      <c r="B93" s="680" t="s">
        <v>139</v>
      </c>
      <c r="C93" s="681" t="s">
        <v>134</v>
      </c>
      <c r="D93" s="680" t="s">
        <v>171</v>
      </c>
      <c r="E93" s="629">
        <v>2</v>
      </c>
      <c r="F93" s="70"/>
      <c r="G93" s="70" t="str">
        <f t="shared" si="65"/>
        <v>048PA</v>
      </c>
      <c r="H93" s="369"/>
    </row>
    <row r="94" spans="2:8">
      <c r="B94" s="680" t="s">
        <v>139</v>
      </c>
      <c r="C94" s="681" t="s">
        <v>134</v>
      </c>
      <c r="D94" s="680" t="s">
        <v>175</v>
      </c>
      <c r="E94" s="629">
        <v>0</v>
      </c>
      <c r="F94" s="70"/>
      <c r="G94" s="70" t="str">
        <f t="shared" si="65"/>
        <v>048PB</v>
      </c>
    </row>
    <row r="95" spans="2:8">
      <c r="B95" s="680" t="s">
        <v>139</v>
      </c>
      <c r="C95" s="681" t="s">
        <v>134</v>
      </c>
      <c r="D95" s="680" t="s">
        <v>176</v>
      </c>
      <c r="E95" s="629">
        <v>0</v>
      </c>
      <c r="F95" s="70"/>
      <c r="G95" s="70" t="str">
        <f t="shared" si="65"/>
        <v>048SLB</v>
      </c>
    </row>
    <row r="96" spans="2:8">
      <c r="B96" s="680" t="s">
        <v>139</v>
      </c>
      <c r="C96" s="681" t="s">
        <v>134</v>
      </c>
      <c r="D96" s="680" t="s">
        <v>177</v>
      </c>
      <c r="E96" s="629">
        <v>195</v>
      </c>
      <c r="F96" s="70"/>
      <c r="G96" s="70" t="str">
        <f t="shared" si="65"/>
        <v>048SLC</v>
      </c>
    </row>
    <row r="97" spans="2:35">
      <c r="B97" s="680" t="s">
        <v>139</v>
      </c>
      <c r="C97" s="681" t="s">
        <v>134</v>
      </c>
      <c r="D97" s="680" t="s">
        <v>178</v>
      </c>
      <c r="E97" s="629">
        <v>0</v>
      </c>
      <c r="F97" s="71"/>
      <c r="G97" s="70" t="str">
        <f t="shared" si="65"/>
        <v>048SLD</v>
      </c>
    </row>
    <row r="98" spans="2:35">
      <c r="B98" s="680"/>
      <c r="C98" s="680"/>
      <c r="D98" s="680"/>
      <c r="E98" s="684">
        <f>SUM(E56:E97)</f>
        <v>4062</v>
      </c>
      <c r="G98" s="70" t="str">
        <f t="shared" ref="G98" si="66">IF(OR(ISBLANK(C99),ISBLANK(D99)),"",TEXT(C99,"000")&amp;TEXT(D99,"000"))</f>
        <v/>
      </c>
      <c r="I98" s="468"/>
      <c r="J98" s="468"/>
      <c r="K98" s="471"/>
      <c r="L98" s="472"/>
      <c r="M98" s="481"/>
      <c r="N98" s="481"/>
      <c r="O98" s="468"/>
      <c r="P98" s="511"/>
      <c r="Q98" s="512"/>
      <c r="R98" s="468"/>
      <c r="S98" s="510">
        <f t="shared" ref="S98:T104" si="67">IF(AND(M98&lt;&gt;0,P98=0),#VALUE!,M98*P98)</f>
        <v>0</v>
      </c>
      <c r="T98" s="510">
        <f t="shared" si="67"/>
        <v>0</v>
      </c>
      <c r="U98" s="510"/>
      <c r="V98" s="481">
        <f t="shared" ref="V98:W104" si="68">SUMIF($G:$G,TEXT(V$3,"000")&amp;TEXT($L98,"000"),$E:$E)</f>
        <v>0</v>
      </c>
      <c r="W98" s="481">
        <f t="shared" si="68"/>
        <v>0</v>
      </c>
      <c r="X98" s="468"/>
      <c r="Y98" s="510"/>
      <c r="Z98" s="468"/>
      <c r="AA98" s="481">
        <f t="shared" ref="AA98:AB104" si="69">M98</f>
        <v>0</v>
      </c>
      <c r="AB98" s="481">
        <f t="shared" si="69"/>
        <v>0</v>
      </c>
      <c r="AC98" s="468"/>
      <c r="AD98" s="483">
        <f t="shared" ref="AD98:AD104" si="70">ROUND(P98*(1+AD$1),2)</f>
        <v>0</v>
      </c>
      <c r="AE98" s="513">
        <f t="shared" ref="AE98:AE104" si="71">AD98</f>
        <v>0</v>
      </c>
      <c r="AF98" s="468"/>
      <c r="AG98" s="510">
        <f t="shared" ref="AG98:AH104" si="72">IF(AND(AA98&lt;&gt;0,AD98=0),#VALUE!,AA98*AD98)</f>
        <v>0</v>
      </c>
      <c r="AH98" s="510">
        <f t="shared" si="72"/>
        <v>0</v>
      </c>
    </row>
    <row r="99" spans="2:35">
      <c r="B99" s="680"/>
      <c r="C99" s="680"/>
      <c r="D99" s="680"/>
      <c r="E99" s="647"/>
      <c r="F99" s="70"/>
      <c r="G99" s="70"/>
      <c r="I99" s="468"/>
      <c r="J99" s="468"/>
      <c r="K99" s="471"/>
      <c r="L99" s="472"/>
      <c r="M99" s="481"/>
      <c r="N99" s="481"/>
      <c r="O99" s="468"/>
      <c r="P99" s="511"/>
      <c r="Q99" s="512"/>
      <c r="R99" s="468"/>
      <c r="S99" s="510">
        <f t="shared" si="67"/>
        <v>0</v>
      </c>
      <c r="T99" s="510">
        <f t="shared" si="67"/>
        <v>0</v>
      </c>
      <c r="U99" s="510"/>
      <c r="V99" s="481">
        <f t="shared" si="68"/>
        <v>0</v>
      </c>
      <c r="W99" s="481">
        <f t="shared" si="68"/>
        <v>0</v>
      </c>
      <c r="X99" s="468"/>
      <c r="Y99" s="510"/>
      <c r="Z99" s="468"/>
      <c r="AA99" s="481">
        <f t="shared" si="69"/>
        <v>0</v>
      </c>
      <c r="AB99" s="481">
        <f t="shared" si="69"/>
        <v>0</v>
      </c>
      <c r="AC99" s="468"/>
      <c r="AD99" s="483">
        <f t="shared" si="70"/>
        <v>0</v>
      </c>
      <c r="AE99" s="513">
        <f t="shared" si="71"/>
        <v>0</v>
      </c>
      <c r="AF99" s="468"/>
      <c r="AG99" s="510">
        <f t="shared" si="72"/>
        <v>0</v>
      </c>
      <c r="AH99" s="510">
        <f t="shared" si="72"/>
        <v>0</v>
      </c>
    </row>
    <row r="100" spans="2:35">
      <c r="B100" s="680" t="s">
        <v>139</v>
      </c>
      <c r="C100" s="680"/>
      <c r="D100" s="680"/>
      <c r="E100" s="683">
        <f>E54+E98</f>
        <v>9658</v>
      </c>
      <c r="I100" s="468"/>
      <c r="J100" s="468"/>
      <c r="K100" s="471"/>
      <c r="L100" s="472"/>
      <c r="M100" s="481"/>
      <c r="N100" s="481"/>
      <c r="O100" s="468"/>
      <c r="P100" s="511"/>
      <c r="Q100" s="512"/>
      <c r="R100" s="468"/>
      <c r="S100" s="510">
        <f t="shared" si="67"/>
        <v>0</v>
      </c>
      <c r="T100" s="510">
        <f t="shared" si="67"/>
        <v>0</v>
      </c>
      <c r="U100" s="510"/>
      <c r="V100" s="481">
        <f t="shared" si="68"/>
        <v>0</v>
      </c>
      <c r="W100" s="481">
        <f t="shared" si="68"/>
        <v>0</v>
      </c>
      <c r="X100" s="468"/>
      <c r="Y100" s="510"/>
      <c r="Z100" s="468"/>
      <c r="AA100" s="481">
        <f t="shared" si="69"/>
        <v>0</v>
      </c>
      <c r="AB100" s="481">
        <f t="shared" si="69"/>
        <v>0</v>
      </c>
      <c r="AC100" s="468"/>
      <c r="AD100" s="483">
        <f t="shared" si="70"/>
        <v>0</v>
      </c>
      <c r="AE100" s="513">
        <f t="shared" si="71"/>
        <v>0</v>
      </c>
      <c r="AF100" s="468"/>
      <c r="AG100" s="510">
        <f t="shared" si="72"/>
        <v>0</v>
      </c>
      <c r="AH100" s="510">
        <f t="shared" si="72"/>
        <v>0</v>
      </c>
    </row>
    <row r="101" spans="2:35">
      <c r="I101" s="468"/>
      <c r="J101" s="468"/>
      <c r="K101" s="471"/>
      <c r="L101" s="472"/>
      <c r="M101" s="481"/>
      <c r="N101" s="481"/>
      <c r="O101" s="468"/>
      <c r="P101" s="511"/>
      <c r="Q101" s="512"/>
      <c r="R101" s="468"/>
      <c r="S101" s="510">
        <f t="shared" si="67"/>
        <v>0</v>
      </c>
      <c r="T101" s="510">
        <f t="shared" si="67"/>
        <v>0</v>
      </c>
      <c r="U101" s="510"/>
      <c r="V101" s="481">
        <f t="shared" si="68"/>
        <v>0</v>
      </c>
      <c r="W101" s="481">
        <f t="shared" si="68"/>
        <v>0</v>
      </c>
      <c r="X101" s="468"/>
      <c r="Y101" s="510"/>
      <c r="Z101" s="468"/>
      <c r="AA101" s="481">
        <f t="shared" si="69"/>
        <v>0</v>
      </c>
      <c r="AB101" s="481">
        <f t="shared" si="69"/>
        <v>0</v>
      </c>
      <c r="AC101" s="468"/>
      <c r="AD101" s="483">
        <f t="shared" si="70"/>
        <v>0</v>
      </c>
      <c r="AE101" s="513">
        <f t="shared" si="71"/>
        <v>0</v>
      </c>
      <c r="AF101" s="468"/>
      <c r="AG101" s="510">
        <f t="shared" si="72"/>
        <v>0</v>
      </c>
      <c r="AH101" s="510">
        <f t="shared" si="72"/>
        <v>0</v>
      </c>
    </row>
    <row r="102" spans="2:35">
      <c r="I102" s="468"/>
      <c r="J102" s="468"/>
      <c r="K102" s="471"/>
      <c r="L102" s="472"/>
      <c r="M102" s="481"/>
      <c r="N102" s="481"/>
      <c r="O102" s="468"/>
      <c r="P102" s="511"/>
      <c r="Q102" s="512"/>
      <c r="R102" s="468"/>
      <c r="S102" s="510">
        <f t="shared" si="67"/>
        <v>0</v>
      </c>
      <c r="T102" s="510">
        <f t="shared" si="67"/>
        <v>0</v>
      </c>
      <c r="U102" s="510"/>
      <c r="V102" s="481">
        <f t="shared" si="68"/>
        <v>0</v>
      </c>
      <c r="W102" s="481">
        <f t="shared" si="68"/>
        <v>0</v>
      </c>
      <c r="X102" s="468"/>
      <c r="Y102" s="510"/>
      <c r="Z102" s="468"/>
      <c r="AA102" s="481">
        <f t="shared" si="69"/>
        <v>0</v>
      </c>
      <c r="AB102" s="481">
        <f t="shared" si="69"/>
        <v>0</v>
      </c>
      <c r="AC102" s="468"/>
      <c r="AD102" s="483">
        <f t="shared" si="70"/>
        <v>0</v>
      </c>
      <c r="AE102" s="513">
        <f t="shared" si="71"/>
        <v>0</v>
      </c>
      <c r="AF102" s="468"/>
      <c r="AG102" s="510">
        <f t="shared" si="72"/>
        <v>0</v>
      </c>
      <c r="AH102" s="510">
        <f t="shared" si="72"/>
        <v>0</v>
      </c>
    </row>
    <row r="103" spans="2:35">
      <c r="I103" s="468"/>
      <c r="J103" s="468"/>
      <c r="K103" s="471"/>
      <c r="L103" s="472"/>
      <c r="M103" s="481"/>
      <c r="N103" s="481"/>
      <c r="O103" s="468"/>
      <c r="P103" s="511"/>
      <c r="Q103" s="512"/>
      <c r="R103" s="468"/>
      <c r="S103" s="510">
        <f t="shared" si="67"/>
        <v>0</v>
      </c>
      <c r="T103" s="510">
        <f t="shared" si="67"/>
        <v>0</v>
      </c>
      <c r="U103" s="510"/>
      <c r="V103" s="481">
        <f t="shared" si="68"/>
        <v>0</v>
      </c>
      <c r="W103" s="481">
        <f t="shared" si="68"/>
        <v>0</v>
      </c>
      <c r="X103" s="468"/>
      <c r="Y103" s="510"/>
      <c r="Z103" s="468"/>
      <c r="AA103" s="481">
        <f t="shared" si="69"/>
        <v>0</v>
      </c>
      <c r="AB103" s="481">
        <f t="shared" si="69"/>
        <v>0</v>
      </c>
      <c r="AC103" s="468"/>
      <c r="AD103" s="483">
        <f t="shared" si="70"/>
        <v>0</v>
      </c>
      <c r="AE103" s="513">
        <f t="shared" si="71"/>
        <v>0</v>
      </c>
      <c r="AF103" s="468"/>
      <c r="AG103" s="510">
        <f t="shared" si="72"/>
        <v>0</v>
      </c>
      <c r="AH103" s="510">
        <f t="shared" si="72"/>
        <v>0</v>
      </c>
    </row>
    <row r="104" spans="2:35">
      <c r="I104" s="468"/>
      <c r="J104" s="468"/>
      <c r="K104" s="471"/>
      <c r="L104" s="472"/>
      <c r="M104" s="481"/>
      <c r="N104" s="481"/>
      <c r="O104" s="468"/>
      <c r="P104" s="511"/>
      <c r="Q104" s="512"/>
      <c r="R104" s="468"/>
      <c r="S104" s="510">
        <f t="shared" si="67"/>
        <v>0</v>
      </c>
      <c r="T104" s="510">
        <f t="shared" si="67"/>
        <v>0</v>
      </c>
      <c r="U104" s="510"/>
      <c r="V104" s="481">
        <f t="shared" si="68"/>
        <v>0</v>
      </c>
      <c r="W104" s="481">
        <f t="shared" si="68"/>
        <v>0</v>
      </c>
      <c r="X104" s="468"/>
      <c r="Y104" s="510"/>
      <c r="Z104" s="468"/>
      <c r="AA104" s="481">
        <f t="shared" si="69"/>
        <v>0</v>
      </c>
      <c r="AB104" s="481">
        <f t="shared" si="69"/>
        <v>0</v>
      </c>
      <c r="AC104" s="468"/>
      <c r="AD104" s="483">
        <f t="shared" si="70"/>
        <v>0</v>
      </c>
      <c r="AE104" s="513">
        <f t="shared" si="71"/>
        <v>0</v>
      </c>
      <c r="AF104" s="468"/>
      <c r="AG104" s="510">
        <f t="shared" si="72"/>
        <v>0</v>
      </c>
      <c r="AH104" s="510">
        <f t="shared" si="72"/>
        <v>0</v>
      </c>
      <c r="AI104" s="468"/>
    </row>
  </sheetData>
  <phoneticPr fontId="15" type="noConversion"/>
  <conditionalFormatting sqref="AB57 N57 W57">
    <cfRule type="cellIs" dxfId="0" priority="8" stopIfTrue="1" operator="notEqual">
      <formula>0</formula>
    </cfRule>
  </conditionalFormatting>
  <pageMargins left="0.5" right="0" top="0.5" bottom="0" header="0.5" footer="0.35"/>
  <pageSetup scale="45"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8532-5C3B-4025-A12D-6EBD4E7E5F4D}">
  <dimension ref="A5:P40"/>
  <sheetViews>
    <sheetView topLeftCell="E1" workbookViewId="0">
      <selection activeCell="R21" sqref="R21"/>
    </sheetView>
  </sheetViews>
  <sheetFormatPr defaultRowHeight="12.75"/>
  <cols>
    <col min="1" max="1" width="33.42578125" style="746" hidden="1" customWidth="1"/>
    <col min="2" max="2" width="11.7109375" style="746" hidden="1" customWidth="1"/>
    <col min="3" max="3" width="16.7109375" style="746" hidden="1" customWidth="1"/>
    <col min="4" max="4" width="11.7109375" style="746" hidden="1" customWidth="1"/>
    <col min="5" max="5" width="4.28515625" style="746" customWidth="1"/>
    <col min="6" max="6" width="33.42578125" style="746" bestFit="1" customWidth="1"/>
    <col min="7" max="7" width="11.7109375" style="746" bestFit="1" customWidth="1"/>
    <col min="8" max="8" width="16.7109375" style="746" bestFit="1" customWidth="1"/>
    <col min="9" max="9" width="11.7109375" style="746" bestFit="1" customWidth="1"/>
    <col min="10" max="10" width="10" style="746" bestFit="1" customWidth="1"/>
    <col min="11" max="11" width="11.28515625" style="746" bestFit="1" customWidth="1"/>
    <col min="12" max="12" width="34.42578125" style="746" bestFit="1" customWidth="1"/>
    <col min="13" max="13" width="12.42578125" style="746" bestFit="1" customWidth="1"/>
    <col min="14" max="14" width="16.7109375" style="746" bestFit="1" customWidth="1"/>
    <col min="15" max="15" width="11.28515625" style="746" customWidth="1"/>
    <col min="16" max="16" width="24.7109375" style="746" bestFit="1" customWidth="1"/>
    <col min="17" max="16384" width="9.140625" style="746"/>
  </cols>
  <sheetData>
    <row r="5" spans="1:16">
      <c r="A5" s="746" t="s">
        <v>812</v>
      </c>
      <c r="F5" s="746" t="s">
        <v>812</v>
      </c>
      <c r="L5" s="746" t="s">
        <v>812</v>
      </c>
      <c r="P5" s="749"/>
    </row>
    <row r="6" spans="1:16">
      <c r="A6" s="746" t="s">
        <v>859</v>
      </c>
      <c r="F6" s="746" t="s">
        <v>859</v>
      </c>
      <c r="L6" s="746" t="s">
        <v>859</v>
      </c>
      <c r="P6" s="749"/>
    </row>
    <row r="7" spans="1:16">
      <c r="A7" s="429" t="s">
        <v>860</v>
      </c>
      <c r="F7" s="380" t="s">
        <v>893</v>
      </c>
      <c r="L7" s="380" t="s">
        <v>932</v>
      </c>
      <c r="P7" s="749"/>
    </row>
    <row r="8" spans="1:16">
      <c r="P8" s="749"/>
    </row>
    <row r="9" spans="1:16" ht="13.5" thickBot="1">
      <c r="P9" s="749"/>
    </row>
    <row r="10" spans="1:16" ht="16.5" thickBot="1">
      <c r="A10" s="767" t="s">
        <v>861</v>
      </c>
      <c r="B10" s="768"/>
      <c r="C10" s="768"/>
      <c r="D10" s="769"/>
      <c r="F10" s="767" t="s">
        <v>861</v>
      </c>
      <c r="G10" s="768"/>
      <c r="H10" s="768"/>
      <c r="I10" s="769"/>
      <c r="J10" s="76" t="s">
        <v>862</v>
      </c>
      <c r="L10" s="767" t="s">
        <v>861</v>
      </c>
      <c r="M10" s="768"/>
      <c r="N10" s="768"/>
      <c r="O10" s="769"/>
      <c r="P10" s="770" t="s">
        <v>862</v>
      </c>
    </row>
    <row r="11" spans="1:16" ht="15">
      <c r="A11" s="771" t="s">
        <v>863</v>
      </c>
      <c r="B11" s="772" t="s">
        <v>863</v>
      </c>
      <c r="C11" s="773" t="s">
        <v>864</v>
      </c>
      <c r="D11" s="774" t="s">
        <v>865</v>
      </c>
      <c r="F11" s="771" t="s">
        <v>863</v>
      </c>
      <c r="G11" s="772" t="s">
        <v>863</v>
      </c>
      <c r="H11" s="773" t="s">
        <v>864</v>
      </c>
      <c r="I11" s="774" t="s">
        <v>865</v>
      </c>
      <c r="L11" s="771" t="s">
        <v>863</v>
      </c>
      <c r="M11" s="772" t="s">
        <v>863</v>
      </c>
      <c r="N11" s="773" t="s">
        <v>864</v>
      </c>
      <c r="O11" s="774" t="s">
        <v>865</v>
      </c>
      <c r="P11" s="749"/>
    </row>
    <row r="12" spans="1:16" ht="15">
      <c r="A12" s="775" t="s">
        <v>864</v>
      </c>
      <c r="B12" s="776" t="s">
        <v>866</v>
      </c>
      <c r="C12" s="777" t="s">
        <v>867</v>
      </c>
      <c r="D12" s="778" t="s">
        <v>867</v>
      </c>
      <c r="F12" s="775" t="s">
        <v>864</v>
      </c>
      <c r="G12" s="776" t="s">
        <v>866</v>
      </c>
      <c r="H12" s="777" t="s">
        <v>867</v>
      </c>
      <c r="I12" s="778" t="s">
        <v>867</v>
      </c>
      <c r="L12" s="775" t="s">
        <v>864</v>
      </c>
      <c r="M12" s="776" t="s">
        <v>866</v>
      </c>
      <c r="N12" s="777" t="s">
        <v>867</v>
      </c>
      <c r="O12" s="778" t="s">
        <v>867</v>
      </c>
      <c r="P12" s="749"/>
    </row>
    <row r="13" spans="1:16" ht="15">
      <c r="A13" s="779" t="s">
        <v>868</v>
      </c>
      <c r="B13" s="780">
        <v>0.53</v>
      </c>
      <c r="C13" s="781">
        <v>5.7200000000000001E-2</v>
      </c>
      <c r="D13" s="782">
        <f>B13*C13</f>
        <v>3.0316000000000003E-2</v>
      </c>
      <c r="F13" s="779" t="s">
        <v>868</v>
      </c>
      <c r="G13" s="783">
        <v>0.51500000000000001</v>
      </c>
      <c r="H13" s="784">
        <v>4.7980582524271849E-2</v>
      </c>
      <c r="I13" s="782">
        <f>G13*H13</f>
        <v>2.4710000000000003E-2</v>
      </c>
      <c r="L13" s="779" t="s">
        <v>868</v>
      </c>
      <c r="M13" s="783">
        <v>0.51500000000000001</v>
      </c>
      <c r="N13" s="784">
        <v>4.99E-2</v>
      </c>
      <c r="O13" s="785">
        <f>M13*N13</f>
        <v>2.5698499999999999E-2</v>
      </c>
      <c r="P13" s="380"/>
    </row>
    <row r="14" spans="1:16" ht="15">
      <c r="A14" s="779" t="s">
        <v>869</v>
      </c>
      <c r="B14" s="780">
        <v>0</v>
      </c>
      <c r="C14" s="781">
        <v>0</v>
      </c>
      <c r="D14" s="782">
        <f>B14*C14</f>
        <v>0</v>
      </c>
      <c r="F14" s="779" t="s">
        <v>869</v>
      </c>
      <c r="G14" s="783">
        <v>0</v>
      </c>
      <c r="H14" s="784">
        <v>0</v>
      </c>
      <c r="I14" s="782">
        <f>G14*H14</f>
        <v>0</v>
      </c>
      <c r="L14" s="779" t="s">
        <v>869</v>
      </c>
      <c r="M14" s="783">
        <v>0</v>
      </c>
      <c r="N14" s="784">
        <v>0</v>
      </c>
      <c r="O14" s="785">
        <f>M14*N14</f>
        <v>0</v>
      </c>
      <c r="P14" s="380"/>
    </row>
    <row r="15" spans="1:16" ht="15.75" thickBot="1">
      <c r="A15" s="786" t="s">
        <v>870</v>
      </c>
      <c r="B15" s="787">
        <v>0.47</v>
      </c>
      <c r="C15" s="788">
        <v>9.8000000000000004E-2</v>
      </c>
      <c r="D15" s="782">
        <f>B15*C15</f>
        <v>4.6059999999999997E-2</v>
      </c>
      <c r="F15" s="786" t="s">
        <v>870</v>
      </c>
      <c r="G15" s="789">
        <v>0.48499999999999999</v>
      </c>
      <c r="H15" s="790">
        <v>9.4E-2</v>
      </c>
      <c r="I15" s="782">
        <f>G15*H15</f>
        <v>4.5589999999999999E-2</v>
      </c>
      <c r="L15" s="786" t="s">
        <v>870</v>
      </c>
      <c r="M15" s="789">
        <v>0.48499999999999999</v>
      </c>
      <c r="N15" s="790">
        <v>0.104</v>
      </c>
      <c r="O15" s="785">
        <f>M15*N15</f>
        <v>5.0439999999999999E-2</v>
      </c>
      <c r="P15" s="380"/>
    </row>
    <row r="16" spans="1:16" ht="16.5" thickTop="1" thickBot="1">
      <c r="A16" s="791" t="s">
        <v>64</v>
      </c>
      <c r="B16" s="792">
        <f>SUM(B13:B15)</f>
        <v>1</v>
      </c>
      <c r="C16" s="793"/>
      <c r="D16" s="794">
        <f>SUM(D13:D15)</f>
        <v>7.6375999999999999E-2</v>
      </c>
      <c r="F16" s="791" t="s">
        <v>64</v>
      </c>
      <c r="G16" s="792">
        <f>SUM(G13:G15)</f>
        <v>1</v>
      </c>
      <c r="H16" s="793"/>
      <c r="I16" s="795">
        <f>SUM(I13:I15)</f>
        <v>7.0300000000000001E-2</v>
      </c>
      <c r="L16" s="791" t="s">
        <v>64</v>
      </c>
      <c r="M16" s="792">
        <f>SUM(M13:M15)</f>
        <v>1</v>
      </c>
      <c r="N16" s="793"/>
      <c r="O16" s="795">
        <f>SUM(O13:O15)</f>
        <v>7.6138499999999998E-2</v>
      </c>
      <c r="P16" s="749"/>
    </row>
    <row r="17" spans="1:16" ht="15">
      <c r="A17" s="796"/>
      <c r="B17" s="796"/>
      <c r="C17" s="797"/>
      <c r="D17" s="797"/>
      <c r="F17" s="796"/>
      <c r="G17" s="796"/>
      <c r="H17" s="797"/>
      <c r="I17" s="797"/>
      <c r="L17" s="796"/>
      <c r="M17" s="796"/>
      <c r="N17" s="797"/>
      <c r="O17" s="797"/>
      <c r="P17" s="749"/>
    </row>
    <row r="18" spans="1:16" ht="15.75" thickBot="1">
      <c r="A18" s="798"/>
      <c r="B18" s="798"/>
      <c r="C18" s="798"/>
      <c r="D18" s="798"/>
      <c r="F18" s="798"/>
      <c r="G18" s="798"/>
      <c r="H18" s="798"/>
      <c r="I18" s="798"/>
      <c r="L18" s="798"/>
      <c r="M18" s="798"/>
      <c r="N18" s="798"/>
      <c r="O18" s="798"/>
      <c r="P18" s="749"/>
    </row>
    <row r="19" spans="1:16" ht="16.5" thickBot="1">
      <c r="A19" s="767" t="s">
        <v>871</v>
      </c>
      <c r="B19" s="768"/>
      <c r="C19" s="768"/>
      <c r="D19" s="769"/>
      <c r="F19" s="767" t="s">
        <v>871</v>
      </c>
      <c r="G19" s="768"/>
      <c r="H19" s="768"/>
      <c r="I19" s="769"/>
      <c r="L19" s="767" t="s">
        <v>871</v>
      </c>
      <c r="M19" s="768"/>
      <c r="N19" s="768"/>
      <c r="O19" s="769"/>
      <c r="P19" s="749"/>
    </row>
    <row r="20" spans="1:16" ht="15">
      <c r="A20" s="779"/>
      <c r="B20" s="798"/>
      <c r="C20" s="798"/>
      <c r="D20" s="799"/>
      <c r="F20" s="779"/>
      <c r="G20" s="798"/>
      <c r="H20" s="798"/>
      <c r="I20" s="799"/>
      <c r="L20" s="779"/>
      <c r="M20" s="798"/>
      <c r="N20" s="798"/>
      <c r="O20" s="799"/>
      <c r="P20" s="749"/>
    </row>
    <row r="21" spans="1:16" ht="15">
      <c r="A21" s="779" t="s">
        <v>872</v>
      </c>
      <c r="B21" s="798"/>
      <c r="C21" s="798"/>
      <c r="D21" s="800">
        <f>1/0.62082</f>
        <v>1.6107728488128603</v>
      </c>
      <c r="F21" s="779" t="s">
        <v>872</v>
      </c>
      <c r="G21" s="798"/>
      <c r="H21" s="798"/>
      <c r="I21" s="800">
        <f>1/0.755294</f>
        <v>1.3239877451694306</v>
      </c>
      <c r="L21" s="779" t="s">
        <v>872</v>
      </c>
      <c r="M21" s="798"/>
      <c r="N21" s="798"/>
      <c r="O21" s="800">
        <f>1/0.75248</f>
        <v>1.3289389751222622</v>
      </c>
      <c r="P21" s="749"/>
    </row>
    <row r="22" spans="1:16" ht="15">
      <c r="A22" s="779"/>
      <c r="B22" s="798"/>
      <c r="C22" s="801"/>
      <c r="D22" s="799"/>
      <c r="F22" s="779"/>
      <c r="G22" s="798"/>
      <c r="H22" s="801"/>
      <c r="I22" s="799"/>
      <c r="L22" s="779"/>
      <c r="M22" s="798"/>
      <c r="N22" s="801"/>
      <c r="O22" s="799"/>
      <c r="P22" s="749"/>
    </row>
    <row r="23" spans="1:16" ht="15">
      <c r="A23" s="779"/>
      <c r="B23" s="798"/>
      <c r="C23" s="801"/>
      <c r="D23" s="799"/>
      <c r="F23" s="779"/>
      <c r="G23" s="798"/>
      <c r="H23" s="801"/>
      <c r="I23" s="799"/>
      <c r="L23" s="779"/>
      <c r="M23" s="798"/>
      <c r="N23" s="801"/>
      <c r="O23" s="799"/>
      <c r="P23" s="749"/>
    </row>
    <row r="24" spans="1:16" ht="15">
      <c r="A24" s="779" t="s">
        <v>873</v>
      </c>
      <c r="B24" s="798"/>
      <c r="C24" s="802" t="s">
        <v>874</v>
      </c>
      <c r="D24" s="782">
        <f>D15*D21</f>
        <v>7.4192197416320341E-2</v>
      </c>
      <c r="F24" s="779" t="s">
        <v>873</v>
      </c>
      <c r="G24" s="798"/>
      <c r="H24" s="802" t="s">
        <v>875</v>
      </c>
      <c r="I24" s="782">
        <f>I15*I21</f>
        <v>6.0360601302274337E-2</v>
      </c>
      <c r="L24" s="779" t="s">
        <v>873</v>
      </c>
      <c r="M24" s="798"/>
      <c r="N24" s="802" t="s">
        <v>876</v>
      </c>
      <c r="O24" s="782">
        <f>O15*O21</f>
        <v>6.7031681905166909E-2</v>
      </c>
      <c r="P24" s="749"/>
    </row>
    <row r="25" spans="1:16" ht="15">
      <c r="A25" s="779" t="s">
        <v>868</v>
      </c>
      <c r="B25" s="798"/>
      <c r="C25" s="798"/>
      <c r="D25" s="782">
        <f>D13</f>
        <v>3.0316000000000003E-2</v>
      </c>
      <c r="F25" s="779" t="s">
        <v>868</v>
      </c>
      <c r="G25" s="798"/>
      <c r="H25" s="798"/>
      <c r="I25" s="782">
        <f>I13</f>
        <v>2.4710000000000003E-2</v>
      </c>
      <c r="L25" s="779" t="s">
        <v>868</v>
      </c>
      <c r="M25" s="798"/>
      <c r="N25" s="798"/>
      <c r="O25" s="782">
        <f>O13</f>
        <v>2.5698499999999999E-2</v>
      </c>
    </row>
    <row r="26" spans="1:16" ht="15.75" thickBot="1">
      <c r="A26" s="786" t="s">
        <v>877</v>
      </c>
      <c r="B26" s="803"/>
      <c r="C26" s="804" t="s">
        <v>878</v>
      </c>
      <c r="D26" s="805">
        <f>D14*D21</f>
        <v>0</v>
      </c>
      <c r="F26" s="786" t="s">
        <v>877</v>
      </c>
      <c r="G26" s="803"/>
      <c r="H26" s="804" t="s">
        <v>879</v>
      </c>
      <c r="I26" s="805">
        <f>I14*I21</f>
        <v>0</v>
      </c>
      <c r="L26" s="786" t="s">
        <v>877</v>
      </c>
      <c r="M26" s="803"/>
      <c r="N26" s="804" t="s">
        <v>880</v>
      </c>
      <c r="O26" s="805">
        <f>O14*O21</f>
        <v>0</v>
      </c>
      <c r="P26" s="749"/>
    </row>
    <row r="27" spans="1:16" ht="17.25" thickTop="1" thickBot="1">
      <c r="A27" s="791" t="s">
        <v>871</v>
      </c>
      <c r="B27" s="806"/>
      <c r="C27" s="806"/>
      <c r="D27" s="807">
        <f>SUM(D24:D26)</f>
        <v>0.10450819741632034</v>
      </c>
      <c r="F27" s="791" t="s">
        <v>871</v>
      </c>
      <c r="G27" s="806"/>
      <c r="H27" s="806"/>
      <c r="I27" s="807">
        <f>SUM(I24:I26)</f>
        <v>8.507060130227434E-2</v>
      </c>
      <c r="L27" s="791" t="s">
        <v>871</v>
      </c>
      <c r="M27" s="806"/>
      <c r="N27" s="806"/>
      <c r="O27" s="807">
        <f>SUM(O24:O26)</f>
        <v>9.2730181905166909E-2</v>
      </c>
      <c r="P27" s="749"/>
    </row>
    <row r="28" spans="1:16">
      <c r="P28" s="749"/>
    </row>
    <row r="29" spans="1:16">
      <c r="P29" s="749"/>
    </row>
    <row r="30" spans="1:16" ht="13.5" thickBot="1">
      <c r="P30" s="749"/>
    </row>
    <row r="31" spans="1:16">
      <c r="A31" s="808"/>
      <c r="B31" s="809"/>
      <c r="C31" s="810" t="s">
        <v>881</v>
      </c>
      <c r="D31" s="810" t="s">
        <v>882</v>
      </c>
      <c r="F31" s="808"/>
      <c r="G31" s="809"/>
      <c r="H31" s="810" t="s">
        <v>881</v>
      </c>
      <c r="I31" s="810" t="s">
        <v>882</v>
      </c>
      <c r="L31" s="808"/>
      <c r="M31" s="809"/>
      <c r="N31" s="810" t="s">
        <v>881</v>
      </c>
      <c r="O31" s="810" t="s">
        <v>882</v>
      </c>
      <c r="P31" s="749"/>
    </row>
    <row r="32" spans="1:16">
      <c r="A32" s="811" t="s">
        <v>883</v>
      </c>
      <c r="B32" s="812" t="s">
        <v>884</v>
      </c>
      <c r="C32" s="812" t="s">
        <v>885</v>
      </c>
      <c r="D32" s="812" t="s">
        <v>885</v>
      </c>
      <c r="F32" s="811" t="s">
        <v>883</v>
      </c>
      <c r="G32" s="812" t="s">
        <v>884</v>
      </c>
      <c r="H32" s="812" t="s">
        <v>885</v>
      </c>
      <c r="I32" s="812" t="s">
        <v>885</v>
      </c>
      <c r="L32" s="811" t="s">
        <v>883</v>
      </c>
      <c r="M32" s="812" t="s">
        <v>884</v>
      </c>
      <c r="N32" s="812" t="s">
        <v>885</v>
      </c>
      <c r="O32" s="812" t="s">
        <v>885</v>
      </c>
      <c r="P32" s="749"/>
    </row>
    <row r="33" spans="1:16" ht="13.5" thickBot="1">
      <c r="A33" s="813" t="s">
        <v>262</v>
      </c>
      <c r="B33" s="814" t="s">
        <v>261</v>
      </c>
      <c r="C33" s="814" t="s">
        <v>886</v>
      </c>
      <c r="D33" s="814" t="s">
        <v>246</v>
      </c>
      <c r="F33" s="813" t="s">
        <v>262</v>
      </c>
      <c r="G33" s="814" t="s">
        <v>261</v>
      </c>
      <c r="H33" s="814" t="s">
        <v>886</v>
      </c>
      <c r="I33" s="814" t="s">
        <v>246</v>
      </c>
      <c r="L33" s="813" t="s">
        <v>262</v>
      </c>
      <c r="M33" s="814" t="s">
        <v>261</v>
      </c>
      <c r="N33" s="814" t="s">
        <v>886</v>
      </c>
      <c r="O33" s="814" t="s">
        <v>246</v>
      </c>
      <c r="P33" s="749"/>
    </row>
    <row r="34" spans="1:16" ht="13.5" thickBot="1">
      <c r="A34" s="815" t="s">
        <v>887</v>
      </c>
      <c r="B34" s="816">
        <v>20810000</v>
      </c>
      <c r="C34" s="816">
        <v>593000</v>
      </c>
      <c r="D34" s="817">
        <f>C34/B34</f>
        <v>2.8495915425276311E-2</v>
      </c>
      <c r="F34" s="818" t="s">
        <v>887</v>
      </c>
      <c r="G34" s="819">
        <v>47978000</v>
      </c>
      <c r="H34" s="819">
        <v>1259000</v>
      </c>
      <c r="I34" s="820">
        <f>H34/G34</f>
        <v>2.6241193880528577E-2</v>
      </c>
      <c r="L34" s="818" t="s">
        <v>887</v>
      </c>
      <c r="M34" s="819">
        <v>52246000</v>
      </c>
      <c r="N34" s="819">
        <v>1384000</v>
      </c>
      <c r="O34" s="820">
        <f>N34/M34</f>
        <v>2.6490066225165563E-2</v>
      </c>
      <c r="P34" s="821"/>
    </row>
    <row r="35" spans="1:16" ht="13.5" thickBot="1">
      <c r="A35" s="822" t="s">
        <v>888</v>
      </c>
      <c r="B35" s="823"/>
      <c r="C35" s="824"/>
      <c r="D35" s="825">
        <v>0.95498899999999998</v>
      </c>
      <c r="F35" s="822" t="s">
        <v>888</v>
      </c>
      <c r="G35" s="823"/>
      <c r="H35" s="824"/>
      <c r="I35" s="825">
        <v>0.95606899999999995</v>
      </c>
      <c r="L35" s="822" t="s">
        <v>888</v>
      </c>
      <c r="M35" s="823"/>
      <c r="N35" s="824"/>
      <c r="O35" s="825">
        <v>0.95250599999999996</v>
      </c>
      <c r="P35" s="749"/>
    </row>
    <row r="36" spans="1:16" ht="14.25" thickTop="1" thickBot="1">
      <c r="A36" s="826" t="s">
        <v>889</v>
      </c>
      <c r="B36" s="440"/>
      <c r="C36" s="440"/>
      <c r="D36" s="827">
        <f>D34/D35</f>
        <v>2.9838998590849018E-2</v>
      </c>
      <c r="F36" s="826" t="s">
        <v>889</v>
      </c>
      <c r="G36" s="440"/>
      <c r="H36" s="440"/>
      <c r="I36" s="827">
        <f>I34/I35</f>
        <v>2.7446966568865402E-2</v>
      </c>
      <c r="L36" s="826" t="s">
        <v>889</v>
      </c>
      <c r="M36" s="440"/>
      <c r="N36" s="440"/>
      <c r="O36" s="827">
        <f>O34/O35</f>
        <v>2.7810917962895313E-2</v>
      </c>
      <c r="P36" s="749"/>
    </row>
    <row r="37" spans="1:16">
      <c r="H37" s="828"/>
      <c r="N37" s="828"/>
      <c r="P37" s="749"/>
    </row>
    <row r="38" spans="1:16">
      <c r="A38" s="828" t="s">
        <v>890</v>
      </c>
      <c r="F38" s="828" t="s">
        <v>933</v>
      </c>
      <c r="L38" s="828" t="s">
        <v>933</v>
      </c>
      <c r="P38" s="749"/>
    </row>
    <row r="39" spans="1:16">
      <c r="P39" s="749"/>
    </row>
    <row r="40" spans="1:16" ht="15.75">
      <c r="A40" s="59" t="s">
        <v>891</v>
      </c>
      <c r="B40" s="829">
        <f>D27+D36</f>
        <v>0.13434719600716935</v>
      </c>
      <c r="F40" s="59" t="s">
        <v>891</v>
      </c>
      <c r="G40" s="829">
        <f>I27+I36</f>
        <v>0.11251756787113974</v>
      </c>
      <c r="L40" s="59" t="s">
        <v>891</v>
      </c>
      <c r="M40" s="829">
        <f>O27+O36</f>
        <v>0.12054109986806222</v>
      </c>
      <c r="P40" s="74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3:S169"/>
  <sheetViews>
    <sheetView workbookViewId="0">
      <selection activeCell="C102" sqref="C102"/>
    </sheetView>
  </sheetViews>
  <sheetFormatPr defaultColWidth="9.28515625" defaultRowHeight="12.75"/>
  <cols>
    <col min="1" max="1" width="11.7109375" style="365" customWidth="1"/>
    <col min="2" max="2" width="16.5703125" style="365" bestFit="1" customWidth="1"/>
    <col min="3" max="12" width="12.7109375" style="365" bestFit="1" customWidth="1"/>
    <col min="13" max="13" width="12.28515625" style="365" bestFit="1" customWidth="1"/>
    <col min="14" max="14" width="12.7109375" style="365" bestFit="1" customWidth="1"/>
    <col min="15" max="16" width="14.5703125" style="365" bestFit="1" customWidth="1"/>
    <col min="17" max="17" width="9.28515625" style="365"/>
    <col min="18" max="18" width="14" style="365" bestFit="1" customWidth="1"/>
    <col min="19" max="16384" width="9.28515625" style="365"/>
  </cols>
  <sheetData>
    <row r="3" spans="1:19">
      <c r="A3" s="365" t="s">
        <v>469</v>
      </c>
    </row>
    <row r="4" spans="1:19">
      <c r="C4" s="448" t="s">
        <v>442</v>
      </c>
      <c r="D4" s="448" t="s">
        <v>443</v>
      </c>
      <c r="E4" s="448" t="s">
        <v>444</v>
      </c>
      <c r="F4" s="448" t="s">
        <v>445</v>
      </c>
      <c r="G4" s="448" t="s">
        <v>446</v>
      </c>
      <c r="H4" s="448" t="s">
        <v>447</v>
      </c>
      <c r="I4" s="448" t="s">
        <v>448</v>
      </c>
      <c r="J4" s="448" t="s">
        <v>449</v>
      </c>
      <c r="K4" s="448" t="s">
        <v>450</v>
      </c>
      <c r="L4" s="448" t="s">
        <v>451</v>
      </c>
      <c r="M4" s="448" t="s">
        <v>452</v>
      </c>
      <c r="N4" s="448" t="s">
        <v>453</v>
      </c>
      <c r="O4" s="34" t="s">
        <v>454</v>
      </c>
    </row>
    <row r="5" spans="1:19" ht="13.5" thickBot="1">
      <c r="A5" s="365" t="s">
        <v>455</v>
      </c>
    </row>
    <row r="6" spans="1:19">
      <c r="A6" s="557"/>
      <c r="B6" s="558" t="s">
        <v>594</v>
      </c>
      <c r="C6" s="559"/>
      <c r="D6" s="559"/>
      <c r="E6" s="559"/>
      <c r="F6" s="559"/>
      <c r="G6" s="559"/>
      <c r="H6" s="559"/>
      <c r="I6" s="559"/>
      <c r="J6" s="559"/>
      <c r="K6" s="559"/>
      <c r="L6" s="559"/>
      <c r="M6" s="559"/>
      <c r="N6" s="559"/>
      <c r="O6" s="560"/>
      <c r="P6" s="561"/>
    </row>
    <row r="7" spans="1:19">
      <c r="A7" s="562"/>
      <c r="B7" s="447" t="s">
        <v>456</v>
      </c>
      <c r="C7" s="563">
        <f>'REVRUNS 12ME0623'!D61+'REVRUNS 12ME0623'!D76</f>
        <v>133403670.4764</v>
      </c>
      <c r="D7" s="563">
        <f>'REVRUNS 12ME0623'!E61+'REVRUNS 12ME0623'!E76</f>
        <v>149082386.96383998</v>
      </c>
      <c r="E7" s="563">
        <f>'REVRUNS 12ME0623'!F61+'REVRUNS 12ME0623'!F76</f>
        <v>142255745.48017001</v>
      </c>
      <c r="F7" s="563">
        <f>'REVRUNS 12ME0623'!G61+'REVRUNS 12ME0623'!G76</f>
        <v>124472286.62684999</v>
      </c>
      <c r="G7" s="563">
        <f>'REVRUNS 12ME0623'!H61+'REVRUNS 12ME0623'!H76</f>
        <v>140741794.06058002</v>
      </c>
      <c r="H7" s="563">
        <f>'REVRUNS 12ME0623'!I61+'REVRUNS 12ME0623'!I76</f>
        <v>158771733.89572001</v>
      </c>
      <c r="I7" s="563">
        <f>'REVRUNS 12ME0623'!J61+'REVRUNS 12ME0623'!J76</f>
        <v>160299614.60496002</v>
      </c>
      <c r="J7" s="563">
        <f>'REVRUNS 12ME0623'!K61+'REVRUNS 12ME0623'!K76</f>
        <v>134751229.73877001</v>
      </c>
      <c r="K7" s="563">
        <f>'REVRUNS 12ME0623'!L61+'REVRUNS 12ME0623'!L76</f>
        <v>168484449.65279001</v>
      </c>
      <c r="L7" s="563">
        <f>'REVRUNS 12ME0623'!M61+'REVRUNS 12ME0623'!M76</f>
        <v>133510127.43682</v>
      </c>
      <c r="M7" s="563">
        <f>'REVRUNS 12ME0623'!N61+'REVRUNS 12ME0623'!N76</f>
        <v>141162710.19343999</v>
      </c>
      <c r="N7" s="563">
        <f>'REVRUNS 12ME0623'!O61+'REVRUNS 12ME0623'!O76</f>
        <v>131698290.53143001</v>
      </c>
      <c r="O7" s="564">
        <f>SUM(C7:N7)</f>
        <v>1718634039.6617701</v>
      </c>
      <c r="P7" s="565"/>
      <c r="R7" s="42">
        <v>0</v>
      </c>
      <c r="S7" s="373" t="e">
        <f>R7/$R$10</f>
        <v>#DIV/0!</v>
      </c>
    </row>
    <row r="8" spans="1:19">
      <c r="A8" s="562"/>
      <c r="B8" s="447" t="s">
        <v>457</v>
      </c>
      <c r="C8" s="563">
        <f>'REVRUNS 12ME0623'!D62+'REVRUNS 12ME0623'!D77</f>
        <v>34165056.450579993</v>
      </c>
      <c r="D8" s="563">
        <f>'REVRUNS 12ME0623'!E62+'REVRUNS 12ME0623'!E77</f>
        <v>59690974.271160007</v>
      </c>
      <c r="E8" s="563">
        <f>'REVRUNS 12ME0623'!F62+'REVRUNS 12ME0623'!F77</f>
        <v>45547523.145830005</v>
      </c>
      <c r="F8" s="563">
        <f>'REVRUNS 12ME0623'!G62+'REVRUNS 12ME0623'!G77</f>
        <v>21774207.072149999</v>
      </c>
      <c r="G8" s="563">
        <f>'REVRUNS 12ME0623'!H62+'REVRUNS 12ME0623'!H77</f>
        <v>40942736.848420002</v>
      </c>
      <c r="H8" s="563">
        <f>'REVRUNS 12ME0623'!I62+'REVRUNS 12ME0623'!I77</f>
        <v>74105959.343820006</v>
      </c>
      <c r="I8" s="563">
        <f>'REVRUNS 12ME0623'!J62+'REVRUNS 12ME0623'!J77</f>
        <v>77293622.16268</v>
      </c>
      <c r="J8" s="563">
        <f>'REVRUNS 12ME0623'!K62+'REVRUNS 12ME0623'!K77</f>
        <v>56384250.524240002</v>
      </c>
      <c r="K8" s="563">
        <f>'REVRUNS 12ME0623'!L62+'REVRUNS 12ME0623'!L77</f>
        <v>64998770.7152</v>
      </c>
      <c r="L8" s="563">
        <f>'REVRUNS 12ME0623'!M62+'REVRUNS 12ME0623'!M77</f>
        <v>41624915.436179996</v>
      </c>
      <c r="M8" s="563">
        <f>'REVRUNS 12ME0623'!N62+'REVRUNS 12ME0623'!N77</f>
        <v>30549779.880569998</v>
      </c>
      <c r="N8" s="563">
        <f>'REVRUNS 12ME0623'!O62+'REVRUNS 12ME0623'!O77</f>
        <v>30582678.123559996</v>
      </c>
      <c r="O8" s="564">
        <f>SUM(C8:N8)</f>
        <v>577660473.97439003</v>
      </c>
      <c r="P8" s="565"/>
      <c r="R8" s="42">
        <v>0</v>
      </c>
      <c r="S8" s="373" t="e">
        <f>R8/$R$10</f>
        <v>#DIV/0!</v>
      </c>
    </row>
    <row r="9" spans="1:19">
      <c r="A9" s="562"/>
      <c r="B9" s="447" t="s">
        <v>468</v>
      </c>
      <c r="C9" s="563">
        <f>'REVRUNS 12ME0623'!D63+'REVRUNS 12ME0623'!D78</f>
        <v>10842432.141999999</v>
      </c>
      <c r="D9" s="563">
        <f>'REVRUNS 12ME0623'!E63+'REVRUNS 12ME0623'!E78</f>
        <v>26766251.778000001</v>
      </c>
      <c r="E9" s="563">
        <f>'REVRUNS 12ME0623'!F63+'REVRUNS 12ME0623'!F78</f>
        <v>17529839.943</v>
      </c>
      <c r="F9" s="563">
        <f>'REVRUNS 12ME0623'!G63+'REVRUNS 12ME0623'!G78</f>
        <v>5569670.858</v>
      </c>
      <c r="G9" s="563">
        <f>'REVRUNS 12ME0623'!H63+'REVRUNS 12ME0623'!H78</f>
        <v>20828024.364999998</v>
      </c>
      <c r="H9" s="563">
        <f>'REVRUNS 12ME0623'!I63+'REVRUNS 12ME0623'!I78</f>
        <v>74050322.676109999</v>
      </c>
      <c r="I9" s="563">
        <f>'REVRUNS 12ME0623'!J63+'REVRUNS 12ME0623'!J78</f>
        <v>80669085.455030009</v>
      </c>
      <c r="J9" s="563">
        <f>'REVRUNS 12ME0623'!K63+'REVRUNS 12ME0623'!K78</f>
        <v>48810633.655979998</v>
      </c>
      <c r="K9" s="563">
        <f>'REVRUNS 12ME0623'!L63+'REVRUNS 12ME0623'!L78</f>
        <v>49096232.138999999</v>
      </c>
      <c r="L9" s="563">
        <f>'REVRUNS 12ME0623'!M63+'REVRUNS 12ME0623'!M78</f>
        <v>22084289.832000002</v>
      </c>
      <c r="M9" s="563">
        <f>'REVRUNS 12ME0623'!N63+'REVRUNS 12ME0623'!N78</f>
        <v>9077828.6659999993</v>
      </c>
      <c r="N9" s="563">
        <f>'REVRUNS 12ME0623'!O63+'REVRUNS 12ME0623'!O78</f>
        <v>8771147.0260000005</v>
      </c>
      <c r="O9" s="564">
        <f>SUM(C9:N9)</f>
        <v>374095758.53612006</v>
      </c>
      <c r="P9" s="565"/>
      <c r="R9" s="372">
        <v>0</v>
      </c>
      <c r="S9" s="374" t="e">
        <f>R9/$R$10</f>
        <v>#DIV/0!</v>
      </c>
    </row>
    <row r="10" spans="1:19">
      <c r="A10" s="562" t="s">
        <v>458</v>
      </c>
      <c r="B10" s="535" t="s">
        <v>64</v>
      </c>
      <c r="C10" s="368">
        <f>SUM(C7:C9)</f>
        <v>178411159.06897998</v>
      </c>
      <c r="D10" s="368">
        <f t="shared" ref="D10:O10" si="0">SUM(D7:D9)</f>
        <v>235539613.01299998</v>
      </c>
      <c r="E10" s="368">
        <f t="shared" si="0"/>
        <v>205333108.56900001</v>
      </c>
      <c r="F10" s="368">
        <f t="shared" si="0"/>
        <v>151816164.55700001</v>
      </c>
      <c r="G10" s="368">
        <f t="shared" si="0"/>
        <v>202512555.27400002</v>
      </c>
      <c r="H10" s="368">
        <f t="shared" si="0"/>
        <v>306928015.91565001</v>
      </c>
      <c r="I10" s="368">
        <f t="shared" si="0"/>
        <v>318262322.22267002</v>
      </c>
      <c r="J10" s="368">
        <f t="shared" si="0"/>
        <v>239946113.91899002</v>
      </c>
      <c r="K10" s="368">
        <f t="shared" si="0"/>
        <v>282579452.50699002</v>
      </c>
      <c r="L10" s="368">
        <f t="shared" si="0"/>
        <v>197219332.70499998</v>
      </c>
      <c r="M10" s="368">
        <f t="shared" si="0"/>
        <v>180790318.74000999</v>
      </c>
      <c r="N10" s="368">
        <f t="shared" si="0"/>
        <v>171052115.68099001</v>
      </c>
      <c r="O10" s="368">
        <f t="shared" si="0"/>
        <v>2670390272.1722798</v>
      </c>
      <c r="P10" s="565"/>
      <c r="R10" s="42">
        <f>SUM(R7:R9)</f>
        <v>0</v>
      </c>
      <c r="S10" s="81" t="e">
        <f>SUM(S7:S9)</f>
        <v>#DIV/0!</v>
      </c>
    </row>
    <row r="11" spans="1:19">
      <c r="A11" s="562"/>
      <c r="B11" s="447" t="s">
        <v>459</v>
      </c>
      <c r="C11" s="566">
        <f>'REVRUNS 12ME0623'!C39</f>
        <v>226281</v>
      </c>
      <c r="D11" s="566">
        <f>'REVRUNS 12ME0623'!D39</f>
        <v>227405</v>
      </c>
      <c r="E11" s="566">
        <f>'REVRUNS 12ME0623'!E39</f>
        <v>227331</v>
      </c>
      <c r="F11" s="566">
        <f>'REVRUNS 12ME0623'!F39</f>
        <v>227745</v>
      </c>
      <c r="G11" s="566">
        <f>'REVRUNS 12ME0623'!G39</f>
        <v>228126</v>
      </c>
      <c r="H11" s="566">
        <f>'REVRUNS 12ME0623'!H39</f>
        <v>228468</v>
      </c>
      <c r="I11" s="566">
        <f>'REVRUNS 12ME0623'!I39</f>
        <v>228134</v>
      </c>
      <c r="J11" s="566">
        <f>'REVRUNS 12ME0623'!J39</f>
        <v>227625</v>
      </c>
      <c r="K11" s="566">
        <f>'REVRUNS 12ME0623'!K39</f>
        <v>229409</v>
      </c>
      <c r="L11" s="566">
        <f>'REVRUNS 12ME0623'!L39</f>
        <v>229068</v>
      </c>
      <c r="M11" s="566">
        <f>'REVRUNS 12ME0623'!M39</f>
        <v>229744</v>
      </c>
      <c r="N11" s="566">
        <f>'REVRUNS 12ME0623'!N39</f>
        <v>228836</v>
      </c>
      <c r="O11" s="45">
        <f>SUM(C11:N11)</f>
        <v>2738172</v>
      </c>
      <c r="P11" s="565"/>
    </row>
    <row r="12" spans="1:19">
      <c r="A12" s="562"/>
      <c r="B12" s="447" t="s">
        <v>460</v>
      </c>
      <c r="C12" s="564">
        <f>C11*800</f>
        <v>181024800</v>
      </c>
      <c r="D12" s="564">
        <f t="shared" ref="D12:N12" si="1">D11*800</f>
        <v>181924000</v>
      </c>
      <c r="E12" s="564">
        <f t="shared" si="1"/>
        <v>181864800</v>
      </c>
      <c r="F12" s="564">
        <f t="shared" si="1"/>
        <v>182196000</v>
      </c>
      <c r="G12" s="564">
        <f t="shared" si="1"/>
        <v>182500800</v>
      </c>
      <c r="H12" s="564">
        <f t="shared" si="1"/>
        <v>182774400</v>
      </c>
      <c r="I12" s="564">
        <f t="shared" si="1"/>
        <v>182507200</v>
      </c>
      <c r="J12" s="564">
        <f t="shared" si="1"/>
        <v>182100000</v>
      </c>
      <c r="K12" s="564">
        <f t="shared" si="1"/>
        <v>183527200</v>
      </c>
      <c r="L12" s="564">
        <f t="shared" si="1"/>
        <v>183254400</v>
      </c>
      <c r="M12" s="564">
        <f t="shared" si="1"/>
        <v>183795200</v>
      </c>
      <c r="N12" s="564">
        <f t="shared" si="1"/>
        <v>183068800</v>
      </c>
      <c r="O12" s="45">
        <f>SUM(C12:N12)</f>
        <v>2190537600</v>
      </c>
      <c r="P12" s="565"/>
    </row>
    <row r="13" spans="1:19">
      <c r="A13" s="562"/>
      <c r="B13" s="447" t="s">
        <v>72</v>
      </c>
      <c r="C13" s="566">
        <f>'REVRUNS 12ME0623'!D333</f>
        <v>178411159.06897998</v>
      </c>
      <c r="D13" s="566">
        <f>'REVRUNS 12ME0623'!E333</f>
        <v>235539613.01299998</v>
      </c>
      <c r="E13" s="566">
        <f>'REVRUNS 12ME0623'!F333</f>
        <v>205333108.56900004</v>
      </c>
      <c r="F13" s="566">
        <f>'REVRUNS 12ME0623'!G333</f>
        <v>151816164.55699998</v>
      </c>
      <c r="G13" s="566">
        <f>'REVRUNS 12ME0623'!H333</f>
        <v>202512555.27400002</v>
      </c>
      <c r="H13" s="566">
        <f>'REVRUNS 12ME0623'!I333</f>
        <v>306928015.91564995</v>
      </c>
      <c r="I13" s="566">
        <f>'REVRUNS 12ME0623'!J333</f>
        <v>318262322.22266996</v>
      </c>
      <c r="J13" s="566">
        <f>'REVRUNS 12ME0623'!K333</f>
        <v>239946113.91899002</v>
      </c>
      <c r="K13" s="566">
        <f>'REVRUNS 12ME0623'!L333</f>
        <v>282579452.50699002</v>
      </c>
      <c r="L13" s="566">
        <f>'REVRUNS 12ME0623'!M333</f>
        <v>197213803.02499998</v>
      </c>
      <c r="M13" s="566">
        <f>'REVRUNS 12ME0623'!N333</f>
        <v>180790318.74001002</v>
      </c>
      <c r="N13" s="566">
        <f>'REVRUNS 12ME0623'!O333</f>
        <v>171052115.68099001</v>
      </c>
      <c r="O13" s="45">
        <f>SUM(C13:N13)</f>
        <v>2670384742.49228</v>
      </c>
      <c r="P13" s="565"/>
    </row>
    <row r="14" spans="1:19">
      <c r="A14" s="562"/>
      <c r="B14" s="447" t="s">
        <v>471</v>
      </c>
      <c r="C14" s="564">
        <f>C13-C10</f>
        <v>0</v>
      </c>
      <c r="D14" s="564">
        <f t="shared" ref="D14:N14" si="2">D13-D10</f>
        <v>0</v>
      </c>
      <c r="E14" s="564">
        <f t="shared" si="2"/>
        <v>0</v>
      </c>
      <c r="F14" s="564">
        <f t="shared" si="2"/>
        <v>0</v>
      </c>
      <c r="G14" s="564">
        <f t="shared" si="2"/>
        <v>0</v>
      </c>
      <c r="H14" s="564">
        <f t="shared" si="2"/>
        <v>0</v>
      </c>
      <c r="I14" s="567">
        <f t="shared" si="2"/>
        <v>0</v>
      </c>
      <c r="J14" s="567">
        <f t="shared" si="2"/>
        <v>0</v>
      </c>
      <c r="K14" s="567">
        <f t="shared" si="2"/>
        <v>0</v>
      </c>
      <c r="L14" s="567">
        <f t="shared" si="2"/>
        <v>-5529.6800000071526</v>
      </c>
      <c r="M14" s="567">
        <f t="shared" si="2"/>
        <v>0</v>
      </c>
      <c r="N14" s="567">
        <f t="shared" si="2"/>
        <v>0</v>
      </c>
      <c r="O14" s="45">
        <f>SUM(C14:N14)</f>
        <v>-5529.6800000071526</v>
      </c>
      <c r="P14" s="568">
        <f>O14/O13</f>
        <v>-2.0707428079619273E-6</v>
      </c>
    </row>
    <row r="15" spans="1:19">
      <c r="A15" s="562"/>
      <c r="B15" s="447"/>
      <c r="C15" s="564"/>
      <c r="D15" s="564"/>
      <c r="E15" s="564"/>
      <c r="F15" s="564"/>
      <c r="G15" s="564"/>
      <c r="H15" s="564"/>
      <c r="I15" s="567"/>
      <c r="J15" s="567"/>
      <c r="K15" s="567"/>
      <c r="L15" s="567"/>
      <c r="M15" s="567"/>
      <c r="N15" s="567"/>
      <c r="O15" s="45"/>
      <c r="P15" s="568"/>
    </row>
    <row r="16" spans="1:19">
      <c r="A16" s="562"/>
      <c r="B16" s="447" t="s">
        <v>456</v>
      </c>
      <c r="C16" s="371">
        <f>(C7/C$10)*C$14</f>
        <v>0</v>
      </c>
      <c r="D16" s="371">
        <f>(D7/D$10)*D$14</f>
        <v>0</v>
      </c>
      <c r="E16" s="371">
        <f>(E7/E$10)*E$14</f>
        <v>0</v>
      </c>
      <c r="F16" s="371">
        <f>(F7/F$10)*F$14</f>
        <v>0</v>
      </c>
      <c r="G16" s="371">
        <f>(G7/G$10)*G$14</f>
        <v>0</v>
      </c>
      <c r="H16" s="371">
        <f t="shared" ref="H16:N16" si="3">(H7/H$10)*H$14</f>
        <v>0</v>
      </c>
      <c r="I16" s="371">
        <f t="shared" si="3"/>
        <v>0</v>
      </c>
      <c r="J16" s="371">
        <f t="shared" si="3"/>
        <v>0</v>
      </c>
      <c r="K16" s="371">
        <f t="shared" si="3"/>
        <v>0</v>
      </c>
      <c r="L16" s="371">
        <f t="shared" si="3"/>
        <v>-3743.3869761139945</v>
      </c>
      <c r="M16" s="371">
        <f>(M7/M$10)*M$14</f>
        <v>0</v>
      </c>
      <c r="N16" s="371">
        <f t="shared" si="3"/>
        <v>0</v>
      </c>
      <c r="O16" s="371">
        <f>SUM(C16:N16)</f>
        <v>-3743.3869761139945</v>
      </c>
      <c r="P16" s="568"/>
    </row>
    <row r="17" spans="1:19">
      <c r="A17" s="562"/>
      <c r="B17" s="447" t="s">
        <v>457</v>
      </c>
      <c r="C17" s="371">
        <f t="shared" ref="C17:F18" si="4">(C8/C$10)*C$14</f>
        <v>0</v>
      </c>
      <c r="D17" s="371">
        <f t="shared" si="4"/>
        <v>0</v>
      </c>
      <c r="E17" s="371">
        <f t="shared" si="4"/>
        <v>0</v>
      </c>
      <c r="F17" s="371">
        <f t="shared" si="4"/>
        <v>0</v>
      </c>
      <c r="G17" s="371">
        <f t="shared" ref="G17:N17" si="5">(G8/G$10)*G$14</f>
        <v>0</v>
      </c>
      <c r="H17" s="371">
        <f t="shared" si="5"/>
        <v>0</v>
      </c>
      <c r="I17" s="371">
        <f t="shared" si="5"/>
        <v>0</v>
      </c>
      <c r="J17" s="371">
        <f t="shared" si="5"/>
        <v>0</v>
      </c>
      <c r="K17" s="371">
        <f t="shared" si="5"/>
        <v>0</v>
      </c>
      <c r="L17" s="371">
        <f t="shared" si="5"/>
        <v>-1167.0887393870494</v>
      </c>
      <c r="M17" s="371">
        <f t="shared" si="5"/>
        <v>0</v>
      </c>
      <c r="N17" s="371">
        <f t="shared" si="5"/>
        <v>0</v>
      </c>
      <c r="O17" s="371">
        <f>SUM(C17:N17)</f>
        <v>-1167.0887393870494</v>
      </c>
      <c r="P17" s="568"/>
    </row>
    <row r="18" spans="1:19">
      <c r="A18" s="562"/>
      <c r="B18" s="447" t="s">
        <v>468</v>
      </c>
      <c r="C18" s="370">
        <f t="shared" si="4"/>
        <v>0</v>
      </c>
      <c r="D18" s="370">
        <f t="shared" si="4"/>
        <v>0</v>
      </c>
      <c r="E18" s="370">
        <f t="shared" si="4"/>
        <v>0</v>
      </c>
      <c r="F18" s="370">
        <f t="shared" si="4"/>
        <v>0</v>
      </c>
      <c r="G18" s="370">
        <f t="shared" ref="G18:N18" si="6">(G9/G$10)*G$14</f>
        <v>0</v>
      </c>
      <c r="H18" s="370">
        <f t="shared" si="6"/>
        <v>0</v>
      </c>
      <c r="I18" s="370">
        <f t="shared" si="6"/>
        <v>0</v>
      </c>
      <c r="J18" s="370">
        <f t="shared" si="6"/>
        <v>0</v>
      </c>
      <c r="K18" s="370">
        <f t="shared" si="6"/>
        <v>0</v>
      </c>
      <c r="L18" s="370">
        <f t="shared" si="6"/>
        <v>-619.20428450610882</v>
      </c>
      <c r="M18" s="370">
        <f t="shared" si="6"/>
        <v>0</v>
      </c>
      <c r="N18" s="370">
        <f t="shared" si="6"/>
        <v>0</v>
      </c>
      <c r="O18" s="370">
        <f>SUM(C18:N18)</f>
        <v>-619.20428450610882</v>
      </c>
      <c r="P18" s="568"/>
    </row>
    <row r="19" spans="1:19">
      <c r="A19" s="562"/>
      <c r="B19" s="447"/>
      <c r="C19" s="371">
        <f t="shared" ref="C19:O19" si="7">SUM(C16:C18)</f>
        <v>0</v>
      </c>
      <c r="D19" s="371">
        <f t="shared" si="7"/>
        <v>0</v>
      </c>
      <c r="E19" s="371">
        <f t="shared" si="7"/>
        <v>0</v>
      </c>
      <c r="F19" s="371">
        <f t="shared" si="7"/>
        <v>0</v>
      </c>
      <c r="G19" s="371">
        <f t="shared" si="7"/>
        <v>0</v>
      </c>
      <c r="H19" s="371">
        <f t="shared" si="7"/>
        <v>0</v>
      </c>
      <c r="I19" s="371">
        <f t="shared" si="7"/>
        <v>0</v>
      </c>
      <c r="J19" s="371">
        <f t="shared" si="7"/>
        <v>0</v>
      </c>
      <c r="K19" s="371">
        <f t="shared" si="7"/>
        <v>0</v>
      </c>
      <c r="L19" s="371">
        <f t="shared" si="7"/>
        <v>-5529.6800000071526</v>
      </c>
      <c r="M19" s="371">
        <f t="shared" si="7"/>
        <v>0</v>
      </c>
      <c r="N19" s="371">
        <f t="shared" si="7"/>
        <v>0</v>
      </c>
      <c r="O19" s="371">
        <f t="shared" si="7"/>
        <v>-5529.6800000071526</v>
      </c>
      <c r="P19" s="568"/>
    </row>
    <row r="20" spans="1:19">
      <c r="A20" s="562"/>
      <c r="B20" s="447"/>
      <c r="C20" s="371"/>
      <c r="D20" s="371"/>
      <c r="E20" s="371"/>
      <c r="F20" s="371"/>
      <c r="G20" s="371"/>
      <c r="H20" s="371"/>
      <c r="I20" s="371"/>
      <c r="J20" s="371"/>
      <c r="K20" s="371"/>
      <c r="L20" s="371"/>
      <c r="M20" s="371"/>
      <c r="N20" s="371"/>
      <c r="O20" s="371"/>
      <c r="P20" s="568"/>
    </row>
    <row r="21" spans="1:19">
      <c r="A21" s="562"/>
      <c r="B21" s="447" t="s">
        <v>456</v>
      </c>
      <c r="C21" s="371">
        <f>C7+C16</f>
        <v>133403670.4764</v>
      </c>
      <c r="D21" s="371">
        <f>D7+D16</f>
        <v>149082386.96383998</v>
      </c>
      <c r="E21" s="371">
        <f>E7+E16</f>
        <v>142255745.48017001</v>
      </c>
      <c r="F21" s="371">
        <f>F7+F16</f>
        <v>124472286.62684999</v>
      </c>
      <c r="G21" s="371">
        <f>G7+G16</f>
        <v>140741794.06058002</v>
      </c>
      <c r="H21" s="371">
        <f t="shared" ref="H21:N21" si="8">H7+H16</f>
        <v>158771733.89572001</v>
      </c>
      <c r="I21" s="371">
        <f t="shared" si="8"/>
        <v>160299614.60496002</v>
      </c>
      <c r="J21" s="371">
        <f t="shared" si="8"/>
        <v>134751229.73877001</v>
      </c>
      <c r="K21" s="371">
        <f t="shared" si="8"/>
        <v>168484449.65279001</v>
      </c>
      <c r="L21" s="371">
        <f t="shared" si="8"/>
        <v>133506384.04984389</v>
      </c>
      <c r="M21" s="371">
        <f t="shared" si="8"/>
        <v>141162710.19343999</v>
      </c>
      <c r="N21" s="371">
        <f t="shared" si="8"/>
        <v>131698290.53143001</v>
      </c>
      <c r="O21" s="371">
        <f>SUM(C21:N21)</f>
        <v>1718630296.2747939</v>
      </c>
      <c r="P21" s="568"/>
    </row>
    <row r="22" spans="1:19">
      <c r="A22" s="562"/>
      <c r="B22" s="447" t="s">
        <v>457</v>
      </c>
      <c r="C22" s="371">
        <f t="shared" ref="C22:F23" si="9">C8+C17</f>
        <v>34165056.450579993</v>
      </c>
      <c r="D22" s="371">
        <f t="shared" si="9"/>
        <v>59690974.271160007</v>
      </c>
      <c r="E22" s="371">
        <f t="shared" si="9"/>
        <v>45547523.145830005</v>
      </c>
      <c r="F22" s="371">
        <f t="shared" si="9"/>
        <v>21774207.072149999</v>
      </c>
      <c r="G22" s="371">
        <f t="shared" ref="G22:N22" si="10">G8+G17</f>
        <v>40942736.848420002</v>
      </c>
      <c r="H22" s="371">
        <f t="shared" si="10"/>
        <v>74105959.343820006</v>
      </c>
      <c r="I22" s="371">
        <f t="shared" si="10"/>
        <v>77293622.16268</v>
      </c>
      <c r="J22" s="371">
        <f t="shared" si="10"/>
        <v>56384250.524240002</v>
      </c>
      <c r="K22" s="371">
        <f t="shared" si="10"/>
        <v>64998770.7152</v>
      </c>
      <c r="L22" s="371">
        <f t="shared" si="10"/>
        <v>41623748.347440608</v>
      </c>
      <c r="M22" s="371">
        <f t="shared" si="10"/>
        <v>30549779.880569998</v>
      </c>
      <c r="N22" s="371">
        <f t="shared" si="10"/>
        <v>30582678.123559996</v>
      </c>
      <c r="O22" s="371">
        <f>SUM(C22:N22)</f>
        <v>577659306.88565063</v>
      </c>
      <c r="P22" s="568"/>
    </row>
    <row r="23" spans="1:19">
      <c r="A23" s="562"/>
      <c r="B23" s="447" t="s">
        <v>468</v>
      </c>
      <c r="C23" s="370">
        <f t="shared" si="9"/>
        <v>10842432.141999999</v>
      </c>
      <c r="D23" s="370">
        <f t="shared" si="9"/>
        <v>26766251.778000001</v>
      </c>
      <c r="E23" s="370">
        <f t="shared" si="9"/>
        <v>17529839.943</v>
      </c>
      <c r="F23" s="370">
        <f t="shared" si="9"/>
        <v>5569670.858</v>
      </c>
      <c r="G23" s="370">
        <f t="shared" ref="G23:N23" si="11">G9+G18</f>
        <v>20828024.364999998</v>
      </c>
      <c r="H23" s="370">
        <f t="shared" si="11"/>
        <v>74050322.676109999</v>
      </c>
      <c r="I23" s="370">
        <f t="shared" si="11"/>
        <v>80669085.455030009</v>
      </c>
      <c r="J23" s="370">
        <f t="shared" si="11"/>
        <v>48810633.655979998</v>
      </c>
      <c r="K23" s="370">
        <f t="shared" si="11"/>
        <v>49096232.138999999</v>
      </c>
      <c r="L23" s="370">
        <f t="shared" si="11"/>
        <v>22083670.627715494</v>
      </c>
      <c r="M23" s="370">
        <f t="shared" si="11"/>
        <v>9077828.6659999993</v>
      </c>
      <c r="N23" s="370">
        <f t="shared" si="11"/>
        <v>8771147.0260000005</v>
      </c>
      <c r="O23" s="370">
        <f>SUM(C23:N23)</f>
        <v>374095139.33183551</v>
      </c>
      <c r="P23" s="568"/>
    </row>
    <row r="24" spans="1:19">
      <c r="A24" s="562"/>
      <c r="B24" s="447"/>
      <c r="C24" s="371">
        <f t="shared" ref="C24:O24" si="12">SUM(C21:C23)</f>
        <v>178411159.06897998</v>
      </c>
      <c r="D24" s="371">
        <f t="shared" si="12"/>
        <v>235539613.01299998</v>
      </c>
      <c r="E24" s="371">
        <f t="shared" si="12"/>
        <v>205333108.56900001</v>
      </c>
      <c r="F24" s="371">
        <f t="shared" si="12"/>
        <v>151816164.55700001</v>
      </c>
      <c r="G24" s="371">
        <f t="shared" si="12"/>
        <v>202512555.27400002</v>
      </c>
      <c r="H24" s="371">
        <f t="shared" si="12"/>
        <v>306928015.91565001</v>
      </c>
      <c r="I24" s="371">
        <f t="shared" si="12"/>
        <v>318262322.22267002</v>
      </c>
      <c r="J24" s="371">
        <f t="shared" si="12"/>
        <v>239946113.91899002</v>
      </c>
      <c r="K24" s="371">
        <f t="shared" si="12"/>
        <v>282579452.50699002</v>
      </c>
      <c r="L24" s="371">
        <f t="shared" si="12"/>
        <v>197213803.02500001</v>
      </c>
      <c r="M24" s="371">
        <f t="shared" si="12"/>
        <v>180790318.74000999</v>
      </c>
      <c r="N24" s="371">
        <f t="shared" si="12"/>
        <v>171052115.68099001</v>
      </c>
      <c r="O24" s="371">
        <f t="shared" si="12"/>
        <v>2670384742.49228</v>
      </c>
      <c r="P24" s="568"/>
    </row>
    <row r="25" spans="1:19">
      <c r="A25" s="562"/>
      <c r="B25" s="447"/>
      <c r="C25" s="564">
        <f t="shared" ref="C25:O25" si="13">C24-C13</f>
        <v>0</v>
      </c>
      <c r="D25" s="564">
        <f>D24-D13</f>
        <v>0</v>
      </c>
      <c r="E25" s="564">
        <f t="shared" si="13"/>
        <v>0</v>
      </c>
      <c r="F25" s="564">
        <f t="shared" si="13"/>
        <v>0</v>
      </c>
      <c r="G25" s="564">
        <f t="shared" si="13"/>
        <v>0</v>
      </c>
      <c r="H25" s="564">
        <f t="shared" si="13"/>
        <v>0</v>
      </c>
      <c r="I25" s="564">
        <f t="shared" si="13"/>
        <v>0</v>
      </c>
      <c r="J25" s="564">
        <f t="shared" si="13"/>
        <v>0</v>
      </c>
      <c r="K25" s="564">
        <f t="shared" si="13"/>
        <v>0</v>
      </c>
      <c r="L25" s="564">
        <f t="shared" si="13"/>
        <v>0</v>
      </c>
      <c r="M25" s="564">
        <f t="shared" si="13"/>
        <v>0</v>
      </c>
      <c r="N25" s="564">
        <f t="shared" si="13"/>
        <v>0</v>
      </c>
      <c r="O25" s="564">
        <f t="shared" si="13"/>
        <v>0</v>
      </c>
      <c r="P25" s="568"/>
    </row>
    <row r="26" spans="1:19" ht="13.5" thickBot="1">
      <c r="A26" s="569"/>
      <c r="B26" s="440"/>
      <c r="C26" s="570"/>
      <c r="D26" s="570"/>
      <c r="E26" s="570"/>
      <c r="F26" s="570"/>
      <c r="G26" s="570"/>
      <c r="H26" s="570"/>
      <c r="I26" s="571"/>
      <c r="J26" s="571"/>
      <c r="K26" s="571"/>
      <c r="L26" s="571"/>
      <c r="M26" s="571"/>
      <c r="N26" s="571"/>
      <c r="O26" s="572"/>
      <c r="P26" s="573"/>
    </row>
    <row r="27" spans="1:19">
      <c r="A27" s="557"/>
      <c r="B27" s="674" t="s">
        <v>461</v>
      </c>
      <c r="C27" s="574"/>
      <c r="D27" s="574"/>
      <c r="E27" s="574"/>
      <c r="F27" s="574"/>
      <c r="G27" s="574"/>
      <c r="H27" s="574"/>
      <c r="I27" s="574"/>
      <c r="J27" s="574"/>
      <c r="K27" s="574"/>
      <c r="L27" s="574"/>
      <c r="M27" s="574"/>
      <c r="N27" s="574"/>
      <c r="O27" s="559"/>
      <c r="P27" s="561"/>
    </row>
    <row r="28" spans="1:19">
      <c r="A28" s="562"/>
      <c r="B28" s="447" t="s">
        <v>456</v>
      </c>
      <c r="C28" s="563">
        <f>'REVRUNS 12ME0623'!D94+'REVRUNS 12ME0623'!D108</f>
        <v>34777491.001019999</v>
      </c>
      <c r="D28" s="563">
        <f>'REVRUNS 12ME0623'!E94+'REVRUNS 12ME0623'!E108</f>
        <v>38712480.622639999</v>
      </c>
      <c r="E28" s="563">
        <f>'REVRUNS 12ME0623'!F94+'REVRUNS 12ME0623'!F108</f>
        <v>37330724.276710004</v>
      </c>
      <c r="F28" s="563">
        <f>'REVRUNS 12ME0623'!G94+'REVRUNS 12ME0623'!G108</f>
        <v>33767966.33862</v>
      </c>
      <c r="G28" s="563">
        <f>'REVRUNS 12ME0623'!H94+'REVRUNS 12ME0623'!H108</f>
        <v>35721712.524949998</v>
      </c>
      <c r="H28" s="563">
        <f>'REVRUNS 12ME0623'!I94+'REVRUNS 12ME0623'!I108</f>
        <v>45119486.023640007</v>
      </c>
      <c r="I28" s="563">
        <f>'REVRUNS 12ME0623'!J94+'REVRUNS 12ME0623'!J108</f>
        <v>46593238.431589998</v>
      </c>
      <c r="J28" s="563">
        <f>'REVRUNS 12ME0623'!K94+'REVRUNS 12ME0623'!K108</f>
        <v>37337701.136770003</v>
      </c>
      <c r="K28" s="563">
        <f>'REVRUNS 12ME0623'!L94+'REVRUNS 12ME0623'!L108</f>
        <v>48001210.390649997</v>
      </c>
      <c r="L28" s="563">
        <f>'REVRUNS 12ME0623'!M94+'REVRUNS 12ME0623'!M108</f>
        <v>36346351.308650002</v>
      </c>
      <c r="M28" s="563">
        <f>'REVRUNS 12ME0623'!N94+'REVRUNS 12ME0623'!N108</f>
        <v>38390778.734990001</v>
      </c>
      <c r="N28" s="563">
        <f>'REVRUNS 12ME0623'!O94+'REVRUNS 12ME0623'!O108</f>
        <v>34261809.492650002</v>
      </c>
      <c r="O28" s="564">
        <f>SUM(C28:N28)</f>
        <v>466360950.28288007</v>
      </c>
      <c r="P28" s="565"/>
      <c r="R28" s="42">
        <v>0</v>
      </c>
      <c r="S28" s="373" t="e">
        <f>R28/$R$30</f>
        <v>#DIV/0!</v>
      </c>
    </row>
    <row r="29" spans="1:19">
      <c r="A29" s="562"/>
      <c r="B29" s="447" t="s">
        <v>457</v>
      </c>
      <c r="C29" s="563">
        <f>'REVRUNS 12ME0623'!D95+'REVRUNS 12ME0623'!D109</f>
        <v>17300323.425980002</v>
      </c>
      <c r="D29" s="563">
        <f>'REVRUNS 12ME0623'!E95+'REVRUNS 12ME0623'!E109</f>
        <v>24193229.320360001</v>
      </c>
      <c r="E29" s="563">
        <f>'REVRUNS 12ME0623'!F95+'REVRUNS 12ME0623'!F109</f>
        <v>20961024.001290001</v>
      </c>
      <c r="F29" s="563">
        <f>'REVRUNS 12ME0623'!G95+'REVRUNS 12ME0623'!G109</f>
        <v>15030406.42138</v>
      </c>
      <c r="G29" s="563">
        <f>'REVRUNS 12ME0623'!H95+'REVRUNS 12ME0623'!H109</f>
        <v>15736571.773050001</v>
      </c>
      <c r="H29" s="563">
        <f>'REVRUNS 12ME0623'!I95+'REVRUNS 12ME0623'!I109</f>
        <v>24760854.266679998</v>
      </c>
      <c r="I29" s="563">
        <f>'REVRUNS 12ME0623'!J95+'REVRUNS 12ME0623'!J109</f>
        <v>26842022.712889999</v>
      </c>
      <c r="J29" s="563">
        <f>'REVRUNS 12ME0623'!K95+'REVRUNS 12ME0623'!K109</f>
        <v>18836458.712309998</v>
      </c>
      <c r="K29" s="563">
        <f>'REVRUNS 12ME0623'!L95+'REVRUNS 12ME0623'!L109</f>
        <v>23506235.64435</v>
      </c>
      <c r="L29" s="563">
        <f>'REVRUNS 12ME0623'!M95+'REVRUNS 12ME0623'!M109</f>
        <v>15139386.564350002</v>
      </c>
      <c r="M29" s="563">
        <f>'REVRUNS 12ME0623'!N95+'REVRUNS 12ME0623'!N109</f>
        <v>15952209.159010001</v>
      </c>
      <c r="N29" s="563">
        <f>'REVRUNS 12ME0623'!O95+'REVRUNS 12ME0623'!O109</f>
        <v>16115352.40635</v>
      </c>
      <c r="O29" s="564">
        <f>SUM(C29:N29)</f>
        <v>234374074.40799999</v>
      </c>
      <c r="P29" s="565"/>
      <c r="R29" s="372">
        <v>0</v>
      </c>
      <c r="S29" s="374" t="e">
        <f>R29/$R$30</f>
        <v>#DIV/0!</v>
      </c>
    </row>
    <row r="30" spans="1:19">
      <c r="A30" s="562" t="s">
        <v>458</v>
      </c>
      <c r="B30" s="535" t="s">
        <v>64</v>
      </c>
      <c r="C30" s="368">
        <f t="shared" ref="C30:H30" si="14">SUM(C28:C29)</f>
        <v>52077814.427000001</v>
      </c>
      <c r="D30" s="368">
        <f t="shared" si="14"/>
        <v>62905709.943000004</v>
      </c>
      <c r="E30" s="368">
        <f t="shared" si="14"/>
        <v>58291748.278000005</v>
      </c>
      <c r="F30" s="368">
        <f t="shared" si="14"/>
        <v>48798372.759999998</v>
      </c>
      <c r="G30" s="368">
        <f t="shared" si="14"/>
        <v>51458284.298</v>
      </c>
      <c r="H30" s="368">
        <f t="shared" si="14"/>
        <v>69880340.290320009</v>
      </c>
      <c r="I30" s="368">
        <f>SUM(I28:I29)</f>
        <v>73435261.14447999</v>
      </c>
      <c r="J30" s="368">
        <f t="shared" ref="J30:O30" si="15">SUM(J28:J29)</f>
        <v>56174159.849079996</v>
      </c>
      <c r="K30" s="368">
        <f t="shared" si="15"/>
        <v>71507446.034999996</v>
      </c>
      <c r="L30" s="368">
        <f t="shared" si="15"/>
        <v>51485737.873000003</v>
      </c>
      <c r="M30" s="368">
        <f t="shared" si="15"/>
        <v>54342987.894000001</v>
      </c>
      <c r="N30" s="368">
        <f t="shared" si="15"/>
        <v>50377161.899000004</v>
      </c>
      <c r="O30" s="368">
        <f t="shared" si="15"/>
        <v>700735024.69088006</v>
      </c>
      <c r="P30" s="565"/>
      <c r="R30" s="42">
        <f>SUM(R28:R29)</f>
        <v>0</v>
      </c>
      <c r="S30" s="81" t="e">
        <f>SUM(S28:S29)</f>
        <v>#DIV/0!</v>
      </c>
    </row>
    <row r="31" spans="1:19">
      <c r="A31" s="562"/>
      <c r="B31" s="447" t="s">
        <v>72</v>
      </c>
      <c r="C31" s="427">
        <f>'REVRUNS 12ME0623'!D334</f>
        <v>52077814.426999994</v>
      </c>
      <c r="D31" s="427">
        <f>'REVRUNS 12ME0623'!E334</f>
        <v>62905709.943000004</v>
      </c>
      <c r="E31" s="427">
        <f>'REVRUNS 12ME0623'!F334</f>
        <v>58291748.278000005</v>
      </c>
      <c r="F31" s="427">
        <f>'REVRUNS 12ME0623'!G334</f>
        <v>48798372.759999998</v>
      </c>
      <c r="G31" s="427">
        <f>'REVRUNS 12ME0623'!H334</f>
        <v>51458284.298</v>
      </c>
      <c r="H31" s="427">
        <f>'REVRUNS 12ME0623'!I334</f>
        <v>69898340.290319994</v>
      </c>
      <c r="I31" s="427">
        <f>'REVRUNS 12ME0623'!J334</f>
        <v>73435261.14447999</v>
      </c>
      <c r="J31" s="427">
        <f>'REVRUNS 12ME0623'!K334</f>
        <v>56174159.849079996</v>
      </c>
      <c r="K31" s="427">
        <f>'REVRUNS 12ME0623'!L334</f>
        <v>71507446.034999996</v>
      </c>
      <c r="L31" s="427">
        <f>'REVRUNS 12ME0623'!M334</f>
        <v>51485737.872999996</v>
      </c>
      <c r="M31" s="427">
        <f>'REVRUNS 12ME0623'!N334</f>
        <v>54342987.894000001</v>
      </c>
      <c r="N31" s="427">
        <f>'REVRUNS 12ME0623'!O334</f>
        <v>50377161.898999996</v>
      </c>
      <c r="O31" s="564">
        <f>SUM(C31:N31)</f>
        <v>700753024.69088006</v>
      </c>
      <c r="P31" s="565"/>
    </row>
    <row r="32" spans="1:19">
      <c r="A32" s="562"/>
      <c r="B32" s="447"/>
      <c r="C32" s="45">
        <f t="shared" ref="C32:N32" si="16">C31-C30</f>
        <v>0</v>
      </c>
      <c r="D32" s="45">
        <f t="shared" si="16"/>
        <v>0</v>
      </c>
      <c r="E32" s="45">
        <f t="shared" si="16"/>
        <v>0</v>
      </c>
      <c r="F32" s="45">
        <f t="shared" si="16"/>
        <v>0</v>
      </c>
      <c r="G32" s="45">
        <f t="shared" si="16"/>
        <v>0</v>
      </c>
      <c r="H32" s="45">
        <f t="shared" si="16"/>
        <v>17999.999999985099</v>
      </c>
      <c r="I32" s="45">
        <f t="shared" si="16"/>
        <v>0</v>
      </c>
      <c r="J32" s="271">
        <f t="shared" si="16"/>
        <v>0</v>
      </c>
      <c r="K32" s="45">
        <f t="shared" si="16"/>
        <v>0</v>
      </c>
      <c r="L32" s="271">
        <f t="shared" si="16"/>
        <v>0</v>
      </c>
      <c r="M32" s="45">
        <f t="shared" si="16"/>
        <v>0</v>
      </c>
      <c r="N32" s="45">
        <f t="shared" si="16"/>
        <v>0</v>
      </c>
      <c r="O32" s="564">
        <f>SUM(C32:N32)</f>
        <v>17999.999999985099</v>
      </c>
      <c r="P32" s="568">
        <f>O32/O31</f>
        <v>2.5686653308311235E-5</v>
      </c>
    </row>
    <row r="33" spans="1:18">
      <c r="A33" s="562"/>
      <c r="B33" s="447"/>
      <c r="C33" s="45"/>
      <c r="D33" s="45"/>
      <c r="E33" s="45"/>
      <c r="F33" s="45"/>
      <c r="G33" s="45"/>
      <c r="H33" s="45"/>
      <c r="I33" s="45"/>
      <c r="J33" s="271"/>
      <c r="K33" s="45"/>
      <c r="L33" s="271"/>
      <c r="M33" s="45"/>
      <c r="N33" s="45"/>
      <c r="O33" s="564"/>
      <c r="P33" s="568"/>
    </row>
    <row r="34" spans="1:18">
      <c r="A34" s="562"/>
      <c r="B34" s="447" t="s">
        <v>456</v>
      </c>
      <c r="C34" s="371">
        <f>(C28/C$30)*C$32</f>
        <v>0</v>
      </c>
      <c r="D34" s="371">
        <f t="shared" ref="D34:N34" si="17">(D28/D$30)*D$32</f>
        <v>0</v>
      </c>
      <c r="E34" s="371">
        <f t="shared" si="17"/>
        <v>0</v>
      </c>
      <c r="F34" s="371">
        <f t="shared" si="17"/>
        <v>0</v>
      </c>
      <c r="G34" s="371">
        <f t="shared" si="17"/>
        <v>0</v>
      </c>
      <c r="H34" s="371">
        <f t="shared" si="17"/>
        <v>11622.020514650369</v>
      </c>
      <c r="I34" s="371">
        <f t="shared" si="17"/>
        <v>0</v>
      </c>
      <c r="J34" s="371">
        <f t="shared" si="17"/>
        <v>0</v>
      </c>
      <c r="K34" s="371">
        <f t="shared" si="17"/>
        <v>0</v>
      </c>
      <c r="L34" s="371">
        <f t="shared" si="17"/>
        <v>0</v>
      </c>
      <c r="M34" s="371">
        <f t="shared" si="17"/>
        <v>0</v>
      </c>
      <c r="N34" s="371">
        <f t="shared" si="17"/>
        <v>0</v>
      </c>
      <c r="O34" s="371">
        <f>SUM(C34:N34)</f>
        <v>11622.020514650369</v>
      </c>
      <c r="P34" s="568"/>
    </row>
    <row r="35" spans="1:18">
      <c r="A35" s="562"/>
      <c r="B35" s="447" t="s">
        <v>457</v>
      </c>
      <c r="C35" s="370">
        <f t="shared" ref="C35:N35" si="18">(C29/C$30)*C$32</f>
        <v>0</v>
      </c>
      <c r="D35" s="370">
        <f t="shared" si="18"/>
        <v>0</v>
      </c>
      <c r="E35" s="370">
        <f t="shared" si="18"/>
        <v>0</v>
      </c>
      <c r="F35" s="370">
        <f t="shared" si="18"/>
        <v>0</v>
      </c>
      <c r="G35" s="370">
        <f t="shared" si="18"/>
        <v>0</v>
      </c>
      <c r="H35" s="370">
        <f t="shared" si="18"/>
        <v>6377.9794853347303</v>
      </c>
      <c r="I35" s="370">
        <f t="shared" si="18"/>
        <v>0</v>
      </c>
      <c r="J35" s="370">
        <f t="shared" si="18"/>
        <v>0</v>
      </c>
      <c r="K35" s="370">
        <f t="shared" si="18"/>
        <v>0</v>
      </c>
      <c r="L35" s="370">
        <f t="shared" si="18"/>
        <v>0</v>
      </c>
      <c r="M35" s="370">
        <f t="shared" si="18"/>
        <v>0</v>
      </c>
      <c r="N35" s="370">
        <f t="shared" si="18"/>
        <v>0</v>
      </c>
      <c r="O35" s="370">
        <f>SUM(C35:N35)</f>
        <v>6377.9794853347303</v>
      </c>
      <c r="P35" s="568"/>
    </row>
    <row r="36" spans="1:18">
      <c r="A36" s="562"/>
      <c r="B36" s="447"/>
      <c r="C36" s="371">
        <f>SUM(C34:C35)</f>
        <v>0</v>
      </c>
      <c r="D36" s="371">
        <f t="shared" ref="D36:N36" si="19">SUM(D34:D35)</f>
        <v>0</v>
      </c>
      <c r="E36" s="371">
        <f t="shared" si="19"/>
        <v>0</v>
      </c>
      <c r="F36" s="371">
        <f t="shared" si="19"/>
        <v>0</v>
      </c>
      <c r="G36" s="371">
        <f t="shared" si="19"/>
        <v>0</v>
      </c>
      <c r="H36" s="371">
        <f t="shared" si="19"/>
        <v>17999.999999985099</v>
      </c>
      <c r="I36" s="371">
        <f t="shared" si="19"/>
        <v>0</v>
      </c>
      <c r="J36" s="371">
        <f t="shared" si="19"/>
        <v>0</v>
      </c>
      <c r="K36" s="371">
        <f t="shared" si="19"/>
        <v>0</v>
      </c>
      <c r="L36" s="371">
        <f t="shared" si="19"/>
        <v>0</v>
      </c>
      <c r="M36" s="371">
        <f t="shared" si="19"/>
        <v>0</v>
      </c>
      <c r="N36" s="371">
        <f t="shared" si="19"/>
        <v>0</v>
      </c>
      <c r="O36" s="371">
        <f>SUM(O34:O35)</f>
        <v>17999.999999985099</v>
      </c>
      <c r="P36" s="568"/>
    </row>
    <row r="37" spans="1:18">
      <c r="A37" s="562"/>
      <c r="B37" s="447"/>
      <c r="C37" s="371"/>
      <c r="D37" s="371"/>
      <c r="E37" s="371"/>
      <c r="F37" s="371"/>
      <c r="G37" s="371"/>
      <c r="H37" s="371"/>
      <c r="I37" s="371"/>
      <c r="J37" s="371"/>
      <c r="K37" s="371"/>
      <c r="L37" s="371"/>
      <c r="M37" s="371"/>
      <c r="N37" s="371"/>
      <c r="O37" s="371"/>
      <c r="P37" s="568"/>
    </row>
    <row r="38" spans="1:18">
      <c r="A38" s="562"/>
      <c r="B38" s="447" t="s">
        <v>456</v>
      </c>
      <c r="C38" s="371">
        <f>C28+C34</f>
        <v>34777491.001019999</v>
      </c>
      <c r="D38" s="371">
        <f t="shared" ref="D38:N38" si="20">D28+D34</f>
        <v>38712480.622639999</v>
      </c>
      <c r="E38" s="371">
        <f t="shared" si="20"/>
        <v>37330724.276710004</v>
      </c>
      <c r="F38" s="371">
        <f t="shared" si="20"/>
        <v>33767966.33862</v>
      </c>
      <c r="G38" s="371">
        <f t="shared" si="20"/>
        <v>35721712.524949998</v>
      </c>
      <c r="H38" s="371">
        <f t="shared" si="20"/>
        <v>45131108.044154659</v>
      </c>
      <c r="I38" s="371">
        <f t="shared" si="20"/>
        <v>46593238.431589998</v>
      </c>
      <c r="J38" s="371">
        <f t="shared" si="20"/>
        <v>37337701.136770003</v>
      </c>
      <c r="K38" s="371">
        <f t="shared" si="20"/>
        <v>48001210.390649997</v>
      </c>
      <c r="L38" s="371">
        <f t="shared" si="20"/>
        <v>36346351.308650002</v>
      </c>
      <c r="M38" s="371">
        <f t="shared" si="20"/>
        <v>38390778.734990001</v>
      </c>
      <c r="N38" s="371">
        <f t="shared" si="20"/>
        <v>34261809.492650002</v>
      </c>
      <c r="O38" s="371">
        <f>SUM(C38:N38)</f>
        <v>466372572.30339468</v>
      </c>
      <c r="P38" s="568"/>
    </row>
    <row r="39" spans="1:18">
      <c r="A39" s="562"/>
      <c r="B39" s="447" t="s">
        <v>457</v>
      </c>
      <c r="C39" s="370">
        <f>C29+C35</f>
        <v>17300323.425980002</v>
      </c>
      <c r="D39" s="370">
        <f t="shared" ref="D39:N39" si="21">D29+D35</f>
        <v>24193229.320360001</v>
      </c>
      <c r="E39" s="370">
        <f t="shared" si="21"/>
        <v>20961024.001290001</v>
      </c>
      <c r="F39" s="370">
        <f t="shared" si="21"/>
        <v>15030406.42138</v>
      </c>
      <c r="G39" s="370">
        <f t="shared" si="21"/>
        <v>15736571.773050001</v>
      </c>
      <c r="H39" s="370">
        <f t="shared" si="21"/>
        <v>24767232.246165331</v>
      </c>
      <c r="I39" s="370">
        <f t="shared" si="21"/>
        <v>26842022.712889999</v>
      </c>
      <c r="J39" s="370">
        <f t="shared" si="21"/>
        <v>18836458.712309998</v>
      </c>
      <c r="K39" s="370">
        <f t="shared" si="21"/>
        <v>23506235.64435</v>
      </c>
      <c r="L39" s="370">
        <f t="shared" si="21"/>
        <v>15139386.564350002</v>
      </c>
      <c r="M39" s="370">
        <f t="shared" si="21"/>
        <v>15952209.159010001</v>
      </c>
      <c r="N39" s="370">
        <f t="shared" si="21"/>
        <v>16115352.40635</v>
      </c>
      <c r="O39" s="370">
        <f>SUM(C39:N39)</f>
        <v>234380452.38748533</v>
      </c>
      <c r="P39" s="568"/>
    </row>
    <row r="40" spans="1:18">
      <c r="A40" s="562"/>
      <c r="B40" s="447"/>
      <c r="C40" s="371">
        <f t="shared" ref="C40:O40" si="22">SUM(C38:C39)</f>
        <v>52077814.427000001</v>
      </c>
      <c r="D40" s="371">
        <f t="shared" si="22"/>
        <v>62905709.943000004</v>
      </c>
      <c r="E40" s="371">
        <f t="shared" si="22"/>
        <v>58291748.278000005</v>
      </c>
      <c r="F40" s="371">
        <f t="shared" si="22"/>
        <v>48798372.759999998</v>
      </c>
      <c r="G40" s="371">
        <f t="shared" si="22"/>
        <v>51458284.298</v>
      </c>
      <c r="H40" s="371">
        <f t="shared" si="22"/>
        <v>69898340.290319994</v>
      </c>
      <c r="I40" s="371">
        <f t="shared" si="22"/>
        <v>73435261.14447999</v>
      </c>
      <c r="J40" s="371">
        <f t="shared" si="22"/>
        <v>56174159.849079996</v>
      </c>
      <c r="K40" s="371">
        <f t="shared" si="22"/>
        <v>71507446.034999996</v>
      </c>
      <c r="L40" s="371">
        <f t="shared" si="22"/>
        <v>51485737.873000003</v>
      </c>
      <c r="M40" s="371">
        <f t="shared" si="22"/>
        <v>54342987.894000001</v>
      </c>
      <c r="N40" s="371">
        <f t="shared" si="22"/>
        <v>50377161.899000004</v>
      </c>
      <c r="O40" s="371">
        <f t="shared" si="22"/>
        <v>700753024.69088006</v>
      </c>
      <c r="P40" s="568"/>
    </row>
    <row r="41" spans="1:18">
      <c r="A41" s="562"/>
      <c r="B41" s="447"/>
      <c r="C41" s="564">
        <f t="shared" ref="C41:O41" si="23">C40-C31</f>
        <v>0</v>
      </c>
      <c r="D41" s="564">
        <f t="shared" si="23"/>
        <v>0</v>
      </c>
      <c r="E41" s="564">
        <f t="shared" si="23"/>
        <v>0</v>
      </c>
      <c r="F41" s="564">
        <f t="shared" si="23"/>
        <v>0</v>
      </c>
      <c r="G41" s="564">
        <f t="shared" si="23"/>
        <v>0</v>
      </c>
      <c r="H41" s="564">
        <f t="shared" si="23"/>
        <v>0</v>
      </c>
      <c r="I41" s="564">
        <f t="shared" si="23"/>
        <v>0</v>
      </c>
      <c r="J41" s="564">
        <f t="shared" si="23"/>
        <v>0</v>
      </c>
      <c r="K41" s="564">
        <f t="shared" si="23"/>
        <v>0</v>
      </c>
      <c r="L41" s="564">
        <f t="shared" si="23"/>
        <v>0</v>
      </c>
      <c r="M41" s="564">
        <f t="shared" si="23"/>
        <v>0</v>
      </c>
      <c r="N41" s="564">
        <f t="shared" si="23"/>
        <v>0</v>
      </c>
      <c r="O41" s="564">
        <f t="shared" si="23"/>
        <v>0</v>
      </c>
      <c r="P41" s="568"/>
    </row>
    <row r="42" spans="1:18">
      <c r="A42" s="562"/>
      <c r="B42" s="447"/>
      <c r="C42" s="45"/>
      <c r="D42" s="45"/>
      <c r="E42" s="45"/>
      <c r="F42" s="45"/>
      <c r="G42" s="45"/>
      <c r="H42" s="45"/>
      <c r="I42" s="45"/>
      <c r="J42" s="271"/>
      <c r="K42" s="45"/>
      <c r="L42" s="271"/>
      <c r="M42" s="45"/>
      <c r="N42" s="45"/>
      <c r="O42" s="564"/>
      <c r="P42" s="568"/>
    </row>
    <row r="43" spans="1:18">
      <c r="A43" s="575"/>
      <c r="B43" s="535" t="s">
        <v>461</v>
      </c>
      <c r="C43" s="576"/>
      <c r="D43" s="576"/>
      <c r="E43" s="576"/>
      <c r="F43" s="576"/>
      <c r="G43" s="576"/>
      <c r="H43" s="576"/>
      <c r="I43" s="576"/>
      <c r="J43" s="576"/>
      <c r="K43" s="576"/>
      <c r="L43" s="576"/>
      <c r="M43" s="576"/>
      <c r="N43" s="576"/>
      <c r="O43" s="447"/>
      <c r="P43" s="565"/>
    </row>
    <row r="44" spans="1:18">
      <c r="A44" s="562"/>
      <c r="B44" s="447" t="s">
        <v>456</v>
      </c>
      <c r="C44" s="563"/>
      <c r="D44" s="563"/>
      <c r="E44" s="563"/>
      <c r="F44" s="563"/>
      <c r="G44" s="563"/>
      <c r="H44" s="563"/>
      <c r="I44" s="563"/>
      <c r="J44" s="563"/>
      <c r="K44" s="563"/>
      <c r="L44" s="563"/>
      <c r="M44" s="563"/>
      <c r="N44" s="563"/>
      <c r="O44" s="564">
        <f>SUM(C44:N44)</f>
        <v>0</v>
      </c>
      <c r="P44" s="565"/>
      <c r="R44" s="42">
        <v>0</v>
      </c>
    </row>
    <row r="45" spans="1:18">
      <c r="A45" s="562"/>
      <c r="B45" s="447" t="s">
        <v>457</v>
      </c>
      <c r="C45" s="567">
        <f>('REVRUNS 12ME0623'!D426+'REVRUNS 12ME0623'!D431)/7</f>
        <v>47951.838571428569</v>
      </c>
      <c r="D45" s="567">
        <f>('REVRUNS 12ME0623'!E426+'REVRUNS 12ME0623'!E431)/7</f>
        <v>55845.67571428571</v>
      </c>
      <c r="E45" s="567">
        <f>('REVRUNS 12ME0623'!F426+'REVRUNS 12ME0623'!F431)/7</f>
        <v>54480.954285714295</v>
      </c>
      <c r="F45" s="567">
        <f>('REVRUNS 12ME0623'!G426+'REVRUNS 12ME0623'!G431)/7</f>
        <v>40689.687142857139</v>
      </c>
      <c r="G45" s="567">
        <f>('REVRUNS 12ME0623'!H426+'REVRUNS 12ME0623'!H431)/7</f>
        <v>41610.81</v>
      </c>
      <c r="H45" s="567">
        <f>('REVRUNS 12ME0623'!I426+'REVRUNS 12ME0623'!I431)/7.5</f>
        <v>46665.938666666661</v>
      </c>
      <c r="I45" s="567">
        <f>('REVRUNS 12ME0623'!J426+'REVRUNS 12ME0623'!J431)/7.5</f>
        <v>48189.056000000004</v>
      </c>
      <c r="J45" s="567">
        <f>('REVRUNS 12ME0623'!K426+'REVRUNS 12ME0623'!K431)/7.5</f>
        <v>40646.572000000007</v>
      </c>
      <c r="K45" s="567">
        <f>('REVRUNS 12ME0623'!L426+'REVRUNS 12ME0623'!L431)/7.5</f>
        <v>54030.941333333343</v>
      </c>
      <c r="L45" s="567">
        <f>('REVRUNS 12ME0623'!M426+'REVRUNS 12ME0623'!M431)/7.5</f>
        <v>39698.153333333328</v>
      </c>
      <c r="M45" s="567">
        <f>('REVRUNS 12ME0623'!N426+'REVRUNS 12ME0623'!N431)/7.5</f>
        <v>50388.015999999996</v>
      </c>
      <c r="N45" s="567">
        <f>('REVRUNS 12ME0623'!O426+'REVRUNS 12ME0623'!O431)/7.5</f>
        <v>46715.189333333336</v>
      </c>
      <c r="O45" s="564">
        <f>SUM(C45:N45)</f>
        <v>566912.83238095231</v>
      </c>
      <c r="P45" s="577">
        <f>(O45-(('REVRUNS 12ME0623'!P426+'REVRUNS 12ME0623'!P431)/7.25))</f>
        <v>-2957.0655500821304</v>
      </c>
      <c r="R45" s="372">
        <v>0</v>
      </c>
    </row>
    <row r="46" spans="1:18">
      <c r="A46" s="562" t="s">
        <v>462</v>
      </c>
      <c r="B46" s="535" t="s">
        <v>64</v>
      </c>
      <c r="C46" s="368">
        <f t="shared" ref="C46:H46" si="24">SUM(C44:C45)</f>
        <v>47951.838571428569</v>
      </c>
      <c r="D46" s="368">
        <f t="shared" si="24"/>
        <v>55845.67571428571</v>
      </c>
      <c r="E46" s="368">
        <f t="shared" si="24"/>
        <v>54480.954285714295</v>
      </c>
      <c r="F46" s="368">
        <f t="shared" si="24"/>
        <v>40689.687142857139</v>
      </c>
      <c r="G46" s="368">
        <f t="shared" si="24"/>
        <v>41610.81</v>
      </c>
      <c r="H46" s="368">
        <f t="shared" si="24"/>
        <v>46665.938666666661</v>
      </c>
      <c r="I46" s="368">
        <f>SUM(I44:I45)</f>
        <v>48189.056000000004</v>
      </c>
      <c r="J46" s="368">
        <f t="shared" ref="J46:O46" si="25">SUM(J44:J45)</f>
        <v>40646.572000000007</v>
      </c>
      <c r="K46" s="368">
        <f t="shared" si="25"/>
        <v>54030.941333333343</v>
      </c>
      <c r="L46" s="368">
        <f t="shared" si="25"/>
        <v>39698.153333333328</v>
      </c>
      <c r="M46" s="368">
        <f t="shared" si="25"/>
        <v>50388.015999999996</v>
      </c>
      <c r="N46" s="368">
        <f t="shared" si="25"/>
        <v>46715.189333333336</v>
      </c>
      <c r="O46" s="368">
        <f t="shared" si="25"/>
        <v>566912.83238095231</v>
      </c>
      <c r="P46" s="565"/>
      <c r="R46" s="42">
        <f>SUM(R44:R45)</f>
        <v>0</v>
      </c>
    </row>
    <row r="47" spans="1:18">
      <c r="A47" s="562"/>
      <c r="B47" s="447"/>
      <c r="C47" s="447"/>
      <c r="D47" s="447"/>
      <c r="E47" s="447"/>
      <c r="F47" s="447"/>
      <c r="G47" s="447"/>
      <c r="H47" s="447"/>
      <c r="I47" s="447"/>
      <c r="J47" s="447"/>
      <c r="K47" s="447"/>
      <c r="L47" s="447"/>
      <c r="M47" s="447"/>
      <c r="N47" s="447"/>
      <c r="O47" s="447"/>
      <c r="P47" s="565"/>
    </row>
    <row r="48" spans="1:18">
      <c r="A48" s="575"/>
      <c r="B48" s="535" t="s">
        <v>461</v>
      </c>
      <c r="C48" s="447"/>
      <c r="D48" s="447"/>
      <c r="E48" s="447"/>
      <c r="F48" s="447"/>
      <c r="G48" s="447"/>
      <c r="H48" s="447"/>
      <c r="I48" s="447"/>
      <c r="J48" s="447"/>
      <c r="K48" s="447"/>
      <c r="L48" s="447"/>
      <c r="M48" s="447"/>
      <c r="N48" s="447"/>
      <c r="O48" s="447"/>
      <c r="P48" s="565"/>
    </row>
    <row r="49" spans="1:19">
      <c r="A49" s="562"/>
      <c r="B49" s="447" t="s">
        <v>463</v>
      </c>
      <c r="C49" s="567">
        <f>('REVRUNS 12ME0623'!D427+'REVRUNS 12ME0623'!D432)/0.5</f>
        <v>0</v>
      </c>
      <c r="D49" s="567">
        <f>('REVRUNS 12ME0623'!E427+'REVRUNS 12ME0623'!E432)/0.5</f>
        <v>0</v>
      </c>
      <c r="E49" s="567">
        <f>('REVRUNS 12ME0623'!F427+'REVRUNS 12ME0623'!F432)/0.5</f>
        <v>0</v>
      </c>
      <c r="F49" s="567">
        <f>('REVRUNS 12ME0623'!G427+'REVRUNS 12ME0623'!G432)/0.5</f>
        <v>0</v>
      </c>
      <c r="G49" s="567">
        <f>('REVRUNS 12ME0623'!H427+'REVRUNS 12ME0623'!H432)/0.5</f>
        <v>0</v>
      </c>
      <c r="H49" s="567">
        <f>('REVRUNS 12ME0623'!I427+'REVRUNS 12ME0623'!I432)/0.5</f>
        <v>0</v>
      </c>
      <c r="I49" s="567">
        <f>('REVRUNS 12ME0623'!J427+'REVRUNS 12ME0623'!J432)/0.5</f>
        <v>0</v>
      </c>
      <c r="J49" s="567">
        <f>('REVRUNS 12ME0623'!K427+'REVRUNS 12ME0623'!K432)/0.5</f>
        <v>0</v>
      </c>
      <c r="K49" s="567">
        <f>('REVRUNS 12ME0623'!L427+'REVRUNS 12ME0623'!L432)/0.5</f>
        <v>0</v>
      </c>
      <c r="L49" s="567">
        <f>('REVRUNS 12ME0623'!M427+'REVRUNS 12ME0623'!M432)/0.5</f>
        <v>0</v>
      </c>
      <c r="M49" s="567">
        <f>('REVRUNS 12ME0623'!N427+'REVRUNS 12ME0623'!N432)/0.5</f>
        <v>0</v>
      </c>
      <c r="N49" s="567">
        <f>('REVRUNS 12ME0623'!O427+'REVRUNS 12ME0623'!O432)/0.5</f>
        <v>0</v>
      </c>
      <c r="O49" s="564">
        <f>SUM(C49:N49)</f>
        <v>0</v>
      </c>
      <c r="P49" s="565"/>
      <c r="R49" s="42">
        <v>0</v>
      </c>
    </row>
    <row r="50" spans="1:19">
      <c r="A50" s="562"/>
      <c r="B50" s="447" t="s">
        <v>464</v>
      </c>
      <c r="C50" s="578">
        <v>0.5</v>
      </c>
      <c r="D50" s="578">
        <v>0.5</v>
      </c>
      <c r="E50" s="578">
        <v>0.5</v>
      </c>
      <c r="F50" s="578">
        <v>0.5</v>
      </c>
      <c r="G50" s="578">
        <v>0.5</v>
      </c>
      <c r="H50" s="578">
        <v>0.5</v>
      </c>
      <c r="I50" s="578">
        <v>0.5</v>
      </c>
      <c r="J50" s="578">
        <v>0.5</v>
      </c>
      <c r="K50" s="578">
        <v>0.5</v>
      </c>
      <c r="L50" s="578">
        <v>0.5</v>
      </c>
      <c r="M50" s="578">
        <v>0.5</v>
      </c>
      <c r="N50" s="578">
        <v>0.5</v>
      </c>
      <c r="O50" s="579">
        <v>0.5</v>
      </c>
      <c r="P50" s="565"/>
    </row>
    <row r="51" spans="1:19">
      <c r="A51" s="562"/>
      <c r="B51" s="447" t="s">
        <v>465</v>
      </c>
      <c r="C51" s="579">
        <f t="shared" ref="C51:O51" si="26">C49*C50</f>
        <v>0</v>
      </c>
      <c r="D51" s="579">
        <f t="shared" si="26"/>
        <v>0</v>
      </c>
      <c r="E51" s="579">
        <f t="shared" si="26"/>
        <v>0</v>
      </c>
      <c r="F51" s="579">
        <f t="shared" si="26"/>
        <v>0</v>
      </c>
      <c r="G51" s="579">
        <f t="shared" si="26"/>
        <v>0</v>
      </c>
      <c r="H51" s="579">
        <f t="shared" si="26"/>
        <v>0</v>
      </c>
      <c r="I51" s="579">
        <f t="shared" si="26"/>
        <v>0</v>
      </c>
      <c r="J51" s="579">
        <f t="shared" si="26"/>
        <v>0</v>
      </c>
      <c r="K51" s="579">
        <f t="shared" si="26"/>
        <v>0</v>
      </c>
      <c r="L51" s="579">
        <f t="shared" si="26"/>
        <v>0</v>
      </c>
      <c r="M51" s="579">
        <f t="shared" si="26"/>
        <v>0</v>
      </c>
      <c r="N51" s="579">
        <f t="shared" si="26"/>
        <v>0</v>
      </c>
      <c r="O51" s="579">
        <f t="shared" si="26"/>
        <v>0</v>
      </c>
      <c r="P51" s="580">
        <f>O51-'REVRUNS 12ME0623'!P427-'REVRUNS 12ME0623'!P432</f>
        <v>0</v>
      </c>
    </row>
    <row r="52" spans="1:19" ht="13.5" thickBot="1">
      <c r="A52" s="569"/>
      <c r="B52" s="440"/>
      <c r="C52" s="440"/>
      <c r="D52" s="440"/>
      <c r="E52" s="440"/>
      <c r="F52" s="440"/>
      <c r="G52" s="440"/>
      <c r="H52" s="440"/>
      <c r="I52" s="581"/>
      <c r="J52" s="581"/>
      <c r="K52" s="581"/>
      <c r="L52" s="581"/>
      <c r="M52" s="581"/>
      <c r="N52" s="581"/>
      <c r="O52" s="440"/>
      <c r="P52" s="582"/>
    </row>
    <row r="53" spans="1:19" s="554" customFormat="1">
      <c r="A53" s="557"/>
      <c r="B53" s="656" t="s">
        <v>757</v>
      </c>
      <c r="C53" s="574"/>
      <c r="D53" s="574"/>
      <c r="E53" s="574"/>
      <c r="F53" s="574"/>
      <c r="G53" s="574"/>
      <c r="H53" s="574"/>
      <c r="I53" s="574"/>
      <c r="J53" s="574"/>
      <c r="K53" s="574"/>
      <c r="L53" s="574"/>
      <c r="M53" s="574"/>
      <c r="N53" s="574"/>
      <c r="O53" s="559"/>
      <c r="P53" s="561"/>
    </row>
    <row r="54" spans="1:19" s="554" customFormat="1">
      <c r="A54" s="575"/>
      <c r="B54" s="247" t="s">
        <v>456</v>
      </c>
      <c r="C54" s="563">
        <f>'REVRUNS 12ME0623'!D123</f>
        <v>24591.119999999999</v>
      </c>
      <c r="D54" s="563">
        <f>'REVRUNS 12ME0623'!E123</f>
        <v>28632.75</v>
      </c>
      <c r="E54" s="563">
        <f>'REVRUNS 12ME0623'!F123</f>
        <v>31423.89</v>
      </c>
      <c r="F54" s="563">
        <f>'REVRUNS 12ME0623'!G123</f>
        <v>34138.83</v>
      </c>
      <c r="G54" s="563">
        <f>'REVRUNS 12ME0623'!H123</f>
        <v>25962.47</v>
      </c>
      <c r="H54" s="563">
        <f>'REVRUNS 12ME0623'!I123</f>
        <v>22047.439999999999</v>
      </c>
      <c r="I54" s="563">
        <f>'REVRUNS 12ME0623'!J123</f>
        <v>24113.73</v>
      </c>
      <c r="J54" s="563">
        <f>'REVRUNS 12ME0623'!K123</f>
        <v>20235.900000000001</v>
      </c>
      <c r="K54" s="563">
        <f>'REVRUNS 12ME0623'!L123</f>
        <v>28153.02</v>
      </c>
      <c r="L54" s="563">
        <f>'REVRUNS 12ME0623'!M123</f>
        <v>34788.879999999997</v>
      </c>
      <c r="M54" s="563">
        <f>'REVRUNS 12ME0623'!N123</f>
        <v>43286.62</v>
      </c>
      <c r="N54" s="563">
        <f>'REVRUNS 12ME0623'!O123</f>
        <v>53242.720000000001</v>
      </c>
      <c r="O54" s="564">
        <f>SUM(C54:N54)</f>
        <v>370617.37</v>
      </c>
      <c r="P54" s="565"/>
      <c r="R54" s="422">
        <v>0</v>
      </c>
      <c r="S54" s="373" t="e">
        <f>R54/$R$30</f>
        <v>#DIV/0!</v>
      </c>
    </row>
    <row r="55" spans="1:19" s="554" customFormat="1">
      <c r="A55" s="575"/>
      <c r="B55" s="247" t="s">
        <v>457</v>
      </c>
      <c r="C55" s="563">
        <f>'REVRUNS 12ME0623'!D124</f>
        <v>0</v>
      </c>
      <c r="D55" s="563">
        <f>'REVRUNS 12ME0623'!E124</f>
        <v>0</v>
      </c>
      <c r="E55" s="563">
        <f>'REVRUNS 12ME0623'!F124</f>
        <v>0</v>
      </c>
      <c r="F55" s="563">
        <f>'REVRUNS 12ME0623'!G124</f>
        <v>0</v>
      </c>
      <c r="G55" s="563">
        <f>'REVRUNS 12ME0623'!H124</f>
        <v>0</v>
      </c>
      <c r="H55" s="563">
        <f>'REVRUNS 12ME0623'!I124</f>
        <v>0</v>
      </c>
      <c r="I55" s="563">
        <f>'REVRUNS 12ME0623'!J124</f>
        <v>0</v>
      </c>
      <c r="J55" s="563">
        <f>'REVRUNS 12ME0623'!K124</f>
        <v>0</v>
      </c>
      <c r="K55" s="563">
        <f>'REVRUNS 12ME0623'!L124</f>
        <v>0</v>
      </c>
      <c r="L55" s="563">
        <f>'REVRUNS 12ME0623'!M124</f>
        <v>0</v>
      </c>
      <c r="M55" s="563">
        <f>'REVRUNS 12ME0623'!N124</f>
        <v>0</v>
      </c>
      <c r="N55" s="563">
        <f>'REVRUNS 12ME0623'!O124</f>
        <v>0</v>
      </c>
      <c r="O55" s="564">
        <f t="shared" ref="O55:O56" si="27">SUM(C55:N55)</f>
        <v>0</v>
      </c>
      <c r="P55" s="565"/>
      <c r="R55" s="372">
        <v>0</v>
      </c>
      <c r="S55" s="374" t="e">
        <f>R55/$R$30</f>
        <v>#DIV/0!</v>
      </c>
    </row>
    <row r="56" spans="1:19" s="630" customFormat="1">
      <c r="A56" s="654"/>
      <c r="B56" s="655" t="s">
        <v>571</v>
      </c>
      <c r="C56" s="563">
        <f>'REVRUNS 12ME0623'!D125</f>
        <v>0</v>
      </c>
      <c r="D56" s="563">
        <f>'REVRUNS 12ME0623'!E125</f>
        <v>-503</v>
      </c>
      <c r="E56" s="563">
        <f>'REVRUNS 12ME0623'!F125</f>
        <v>291</v>
      </c>
      <c r="F56" s="563">
        <f>'REVRUNS 12ME0623'!G125</f>
        <v>211</v>
      </c>
      <c r="G56" s="563">
        <f>'REVRUNS 12ME0623'!H125</f>
        <v>0</v>
      </c>
      <c r="H56" s="563">
        <f>'REVRUNS 12ME0623'!I125</f>
        <v>0</v>
      </c>
      <c r="I56" s="563">
        <f>'REVRUNS 12ME0623'!J125</f>
        <v>0</v>
      </c>
      <c r="J56" s="563">
        <f>'REVRUNS 12ME0623'!K125</f>
        <v>0</v>
      </c>
      <c r="K56" s="563">
        <f>'REVRUNS 12ME0623'!L125</f>
        <v>0</v>
      </c>
      <c r="L56" s="563">
        <f>'REVRUNS 12ME0623'!M125</f>
        <v>0</v>
      </c>
      <c r="M56" s="563">
        <f>'REVRUNS 12ME0623'!N125</f>
        <v>0</v>
      </c>
      <c r="N56" s="563">
        <f>'REVRUNS 12ME0623'!O125</f>
        <v>0</v>
      </c>
      <c r="O56" s="564">
        <f t="shared" si="27"/>
        <v>-1</v>
      </c>
      <c r="P56" s="565"/>
      <c r="R56" s="45"/>
      <c r="S56" s="653"/>
    </row>
    <row r="57" spans="1:19" s="554" customFormat="1">
      <c r="A57" s="575" t="s">
        <v>458</v>
      </c>
      <c r="B57" s="657" t="s">
        <v>64</v>
      </c>
      <c r="C57" s="368">
        <f>SUM(C54:C56)</f>
        <v>24591.119999999999</v>
      </c>
      <c r="D57" s="368">
        <f t="shared" ref="D57:N57" si="28">SUM(D54:D56)</f>
        <v>28129.75</v>
      </c>
      <c r="E57" s="368">
        <f t="shared" si="28"/>
        <v>31714.89</v>
      </c>
      <c r="F57" s="368">
        <f t="shared" si="28"/>
        <v>34349.83</v>
      </c>
      <c r="G57" s="368">
        <f t="shared" si="28"/>
        <v>25962.47</v>
      </c>
      <c r="H57" s="368">
        <f t="shared" si="28"/>
        <v>22047.439999999999</v>
      </c>
      <c r="I57" s="368">
        <f t="shared" si="28"/>
        <v>24113.73</v>
      </c>
      <c r="J57" s="368">
        <f t="shared" si="28"/>
        <v>20235.900000000001</v>
      </c>
      <c r="K57" s="368">
        <f t="shared" si="28"/>
        <v>28153.02</v>
      </c>
      <c r="L57" s="368">
        <f t="shared" si="28"/>
        <v>34788.879999999997</v>
      </c>
      <c r="M57" s="368">
        <f t="shared" si="28"/>
        <v>43286.62</v>
      </c>
      <c r="N57" s="368">
        <f t="shared" si="28"/>
        <v>53242.720000000001</v>
      </c>
      <c r="O57" s="368">
        <f t="shared" ref="O57" si="29">SUM(O54:O55)</f>
        <v>370617.37</v>
      </c>
      <c r="P57" s="565"/>
      <c r="R57" s="422">
        <f>SUM(R54:R55)</f>
        <v>0</v>
      </c>
      <c r="S57" s="81" t="e">
        <f>SUM(S54:S55)</f>
        <v>#DIV/0!</v>
      </c>
    </row>
    <row r="58" spans="1:19" s="554" customFormat="1">
      <c r="A58" s="575"/>
      <c r="B58" s="247" t="s">
        <v>72</v>
      </c>
      <c r="C58" s="427">
        <f>'REVRUNS 12ME0623'!D335</f>
        <v>24591.119999999999</v>
      </c>
      <c r="D58" s="427">
        <f>'REVRUNS 12ME0623'!E335</f>
        <v>28129.75</v>
      </c>
      <c r="E58" s="427">
        <f>'REVRUNS 12ME0623'!F335</f>
        <v>31714.89</v>
      </c>
      <c r="F58" s="427">
        <f>'REVRUNS 12ME0623'!G335</f>
        <v>34349.83</v>
      </c>
      <c r="G58" s="427">
        <f>'REVRUNS 12ME0623'!H335</f>
        <v>25962.47</v>
      </c>
      <c r="H58" s="427">
        <f>'REVRUNS 12ME0623'!I335</f>
        <v>22047.439999999999</v>
      </c>
      <c r="I58" s="427">
        <f>'REVRUNS 12ME0623'!J335</f>
        <v>24113.73</v>
      </c>
      <c r="J58" s="427">
        <f>'REVRUNS 12ME0623'!K335</f>
        <v>20235.900000000001</v>
      </c>
      <c r="K58" s="427">
        <f>'REVRUNS 12ME0623'!L335</f>
        <v>28153.02</v>
      </c>
      <c r="L58" s="427">
        <f>'REVRUNS 12ME0623'!M335</f>
        <v>34788.879999999997</v>
      </c>
      <c r="M58" s="427">
        <f>'REVRUNS 12ME0623'!N335</f>
        <v>43286.62</v>
      </c>
      <c r="N58" s="427">
        <f>'REVRUNS 12ME0623'!O335</f>
        <v>53242.720000000001</v>
      </c>
      <c r="O58" s="564">
        <f>SUM(C58:N58)</f>
        <v>370616.37</v>
      </c>
      <c r="P58" s="565"/>
    </row>
    <row r="59" spans="1:19" s="554" customFormat="1">
      <c r="A59" s="643"/>
      <c r="B59" s="644"/>
      <c r="C59" s="660">
        <f t="shared" ref="C59:N59" si="30">C58-C57</f>
        <v>0</v>
      </c>
      <c r="D59" s="660">
        <f t="shared" si="30"/>
        <v>0</v>
      </c>
      <c r="E59" s="660">
        <f t="shared" si="30"/>
        <v>0</v>
      </c>
      <c r="F59" s="660">
        <f t="shared" si="30"/>
        <v>0</v>
      </c>
      <c r="G59" s="660">
        <f t="shared" si="30"/>
        <v>0</v>
      </c>
      <c r="H59" s="660">
        <f t="shared" si="30"/>
        <v>0</v>
      </c>
      <c r="I59" s="660">
        <f t="shared" si="30"/>
        <v>0</v>
      </c>
      <c r="J59" s="660">
        <f t="shared" si="30"/>
        <v>0</v>
      </c>
      <c r="K59" s="660">
        <f t="shared" si="30"/>
        <v>0</v>
      </c>
      <c r="L59" s="660">
        <f t="shared" si="30"/>
        <v>0</v>
      </c>
      <c r="M59" s="660">
        <f t="shared" si="30"/>
        <v>0</v>
      </c>
      <c r="N59" s="660">
        <f t="shared" si="30"/>
        <v>0</v>
      </c>
      <c r="O59" s="661">
        <f>SUM(C59:N59)</f>
        <v>0</v>
      </c>
      <c r="P59" s="568">
        <f>O59/O58</f>
        <v>0</v>
      </c>
    </row>
    <row r="60" spans="1:19" s="554" customFormat="1">
      <c r="A60" s="643"/>
      <c r="B60" s="644"/>
      <c r="C60" s="660"/>
      <c r="D60" s="660"/>
      <c r="E60" s="660"/>
      <c r="F60" s="660"/>
      <c r="G60" s="660"/>
      <c r="H60" s="660"/>
      <c r="I60" s="660"/>
      <c r="J60" s="660"/>
      <c r="K60" s="660"/>
      <c r="L60" s="660"/>
      <c r="M60" s="660"/>
      <c r="N60" s="660"/>
      <c r="O60" s="661"/>
      <c r="P60" s="568"/>
    </row>
    <row r="61" spans="1:19" s="554" customFormat="1">
      <c r="A61" s="643"/>
      <c r="B61" s="644" t="s">
        <v>456</v>
      </c>
      <c r="C61" s="662">
        <f>IF(C57=0,0,(C54/C$58)*C$59)</f>
        <v>0</v>
      </c>
      <c r="D61" s="662">
        <f t="shared" ref="D61:N61" si="31">IF(D57=0,0,(D54/D$58)*D$59)</f>
        <v>0</v>
      </c>
      <c r="E61" s="662">
        <f t="shared" si="31"/>
        <v>0</v>
      </c>
      <c r="F61" s="662">
        <f t="shared" si="31"/>
        <v>0</v>
      </c>
      <c r="G61" s="662">
        <f t="shared" si="31"/>
        <v>0</v>
      </c>
      <c r="H61" s="662">
        <f t="shared" si="31"/>
        <v>0</v>
      </c>
      <c r="I61" s="662">
        <f t="shared" si="31"/>
        <v>0</v>
      </c>
      <c r="J61" s="662">
        <f t="shared" si="31"/>
        <v>0</v>
      </c>
      <c r="K61" s="662">
        <f t="shared" si="31"/>
        <v>0</v>
      </c>
      <c r="L61" s="662">
        <f t="shared" si="31"/>
        <v>0</v>
      </c>
      <c r="M61" s="662">
        <f t="shared" si="31"/>
        <v>0</v>
      </c>
      <c r="N61" s="662">
        <f t="shared" si="31"/>
        <v>0</v>
      </c>
      <c r="O61" s="662">
        <f>SUM(C61:N61)</f>
        <v>0</v>
      </c>
      <c r="P61" s="568"/>
    </row>
    <row r="62" spans="1:19" s="554" customFormat="1">
      <c r="A62" s="643"/>
      <c r="B62" s="644" t="s">
        <v>457</v>
      </c>
      <c r="C62" s="663">
        <f>IF(C57=0,0,(C55/C$58)*C$59)</f>
        <v>0</v>
      </c>
      <c r="D62" s="663">
        <f t="shared" ref="D62:N62" si="32">IF(D57=0,0,(D55/D$58)*D$59)</f>
        <v>0</v>
      </c>
      <c r="E62" s="663">
        <f t="shared" si="32"/>
        <v>0</v>
      </c>
      <c r="F62" s="663">
        <f t="shared" si="32"/>
        <v>0</v>
      </c>
      <c r="G62" s="663">
        <f t="shared" si="32"/>
        <v>0</v>
      </c>
      <c r="H62" s="663">
        <f t="shared" si="32"/>
        <v>0</v>
      </c>
      <c r="I62" s="663">
        <f t="shared" si="32"/>
        <v>0</v>
      </c>
      <c r="J62" s="663">
        <f t="shared" si="32"/>
        <v>0</v>
      </c>
      <c r="K62" s="663">
        <f t="shared" si="32"/>
        <v>0</v>
      </c>
      <c r="L62" s="663">
        <f t="shared" si="32"/>
        <v>0</v>
      </c>
      <c r="M62" s="663">
        <f t="shared" si="32"/>
        <v>0</v>
      </c>
      <c r="N62" s="663">
        <f t="shared" si="32"/>
        <v>0</v>
      </c>
      <c r="O62" s="663">
        <f>SUM(C62:N62)</f>
        <v>0</v>
      </c>
      <c r="P62" s="568"/>
    </row>
    <row r="63" spans="1:19" s="554" customFormat="1">
      <c r="A63" s="643"/>
      <c r="B63" s="644"/>
      <c r="C63" s="662">
        <f>SUM(C61:C62)</f>
        <v>0</v>
      </c>
      <c r="D63" s="662">
        <f t="shared" ref="D63:N63" si="33">SUM(D61:D62)</f>
        <v>0</v>
      </c>
      <c r="E63" s="662">
        <f t="shared" si="33"/>
        <v>0</v>
      </c>
      <c r="F63" s="662">
        <f t="shared" si="33"/>
        <v>0</v>
      </c>
      <c r="G63" s="662">
        <f t="shared" si="33"/>
        <v>0</v>
      </c>
      <c r="H63" s="662">
        <f t="shared" si="33"/>
        <v>0</v>
      </c>
      <c r="I63" s="662">
        <f t="shared" si="33"/>
        <v>0</v>
      </c>
      <c r="J63" s="662">
        <f t="shared" si="33"/>
        <v>0</v>
      </c>
      <c r="K63" s="662">
        <f t="shared" si="33"/>
        <v>0</v>
      </c>
      <c r="L63" s="662">
        <f t="shared" si="33"/>
        <v>0</v>
      </c>
      <c r="M63" s="662">
        <f t="shared" si="33"/>
        <v>0</v>
      </c>
      <c r="N63" s="662">
        <f t="shared" si="33"/>
        <v>0</v>
      </c>
      <c r="O63" s="662">
        <f>SUM(O61:O62)</f>
        <v>0</v>
      </c>
      <c r="P63" s="568"/>
    </row>
    <row r="64" spans="1:19" s="554" customFormat="1">
      <c r="A64" s="643"/>
      <c r="B64" s="644"/>
      <c r="C64" s="662"/>
      <c r="D64" s="662"/>
      <c r="E64" s="662"/>
      <c r="F64" s="662"/>
      <c r="G64" s="662"/>
      <c r="H64" s="662"/>
      <c r="I64" s="662"/>
      <c r="J64" s="662"/>
      <c r="K64" s="662"/>
      <c r="L64" s="662"/>
      <c r="M64" s="662"/>
      <c r="N64" s="662"/>
      <c r="O64" s="662"/>
      <c r="P64" s="568"/>
    </row>
    <row r="65" spans="1:18" s="554" customFormat="1">
      <c r="A65" s="643"/>
      <c r="B65" s="644" t="s">
        <v>456</v>
      </c>
      <c r="C65" s="662">
        <f>C54+C61</f>
        <v>24591.119999999999</v>
      </c>
      <c r="D65" s="662">
        <f t="shared" ref="D65:N65" si="34">D54+D61</f>
        <v>28632.75</v>
      </c>
      <c r="E65" s="662">
        <f t="shared" si="34"/>
        <v>31423.89</v>
      </c>
      <c r="F65" s="662">
        <f t="shared" si="34"/>
        <v>34138.83</v>
      </c>
      <c r="G65" s="662">
        <f t="shared" si="34"/>
        <v>25962.47</v>
      </c>
      <c r="H65" s="662">
        <f t="shared" si="34"/>
        <v>22047.439999999999</v>
      </c>
      <c r="I65" s="662">
        <f t="shared" si="34"/>
        <v>24113.73</v>
      </c>
      <c r="J65" s="662">
        <f t="shared" si="34"/>
        <v>20235.900000000001</v>
      </c>
      <c r="K65" s="662">
        <f t="shared" si="34"/>
        <v>28153.02</v>
      </c>
      <c r="L65" s="662">
        <f t="shared" si="34"/>
        <v>34788.879999999997</v>
      </c>
      <c r="M65" s="662">
        <f t="shared" si="34"/>
        <v>43286.62</v>
      </c>
      <c r="N65" s="662">
        <f t="shared" si="34"/>
        <v>53242.720000000001</v>
      </c>
      <c r="O65" s="662">
        <f>SUM(C65:N65)</f>
        <v>370617.37</v>
      </c>
      <c r="P65" s="568"/>
    </row>
    <row r="66" spans="1:18" s="554" customFormat="1">
      <c r="A66" s="643"/>
      <c r="B66" s="644" t="s">
        <v>457</v>
      </c>
      <c r="C66" s="663">
        <f>C55+C62</f>
        <v>0</v>
      </c>
      <c r="D66" s="663">
        <f t="shared" ref="D66:N66" si="35">D55+D62</f>
        <v>0</v>
      </c>
      <c r="E66" s="663">
        <f t="shared" si="35"/>
        <v>0</v>
      </c>
      <c r="F66" s="663">
        <f t="shared" si="35"/>
        <v>0</v>
      </c>
      <c r="G66" s="663">
        <f t="shared" si="35"/>
        <v>0</v>
      </c>
      <c r="H66" s="663">
        <f t="shared" si="35"/>
        <v>0</v>
      </c>
      <c r="I66" s="663">
        <f t="shared" si="35"/>
        <v>0</v>
      </c>
      <c r="J66" s="663">
        <f t="shared" si="35"/>
        <v>0</v>
      </c>
      <c r="K66" s="663">
        <f t="shared" si="35"/>
        <v>0</v>
      </c>
      <c r="L66" s="663">
        <f t="shared" si="35"/>
        <v>0</v>
      </c>
      <c r="M66" s="663">
        <f t="shared" si="35"/>
        <v>0</v>
      </c>
      <c r="N66" s="663">
        <f t="shared" si="35"/>
        <v>0</v>
      </c>
      <c r="O66" s="663">
        <f>SUM(C66:N66)</f>
        <v>0</v>
      </c>
      <c r="P66" s="568"/>
    </row>
    <row r="67" spans="1:18" s="554" customFormat="1">
      <c r="A67" s="643"/>
      <c r="B67" s="644"/>
      <c r="C67" s="662">
        <f t="shared" ref="C67:O67" si="36">SUM(C65:C66)</f>
        <v>24591.119999999999</v>
      </c>
      <c r="D67" s="662">
        <f t="shared" si="36"/>
        <v>28632.75</v>
      </c>
      <c r="E67" s="662">
        <f t="shared" si="36"/>
        <v>31423.89</v>
      </c>
      <c r="F67" s="662">
        <f t="shared" si="36"/>
        <v>34138.83</v>
      </c>
      <c r="G67" s="662">
        <f t="shared" si="36"/>
        <v>25962.47</v>
      </c>
      <c r="H67" s="662">
        <f t="shared" si="36"/>
        <v>22047.439999999999</v>
      </c>
      <c r="I67" s="662">
        <f t="shared" si="36"/>
        <v>24113.73</v>
      </c>
      <c r="J67" s="662">
        <f t="shared" si="36"/>
        <v>20235.900000000001</v>
      </c>
      <c r="K67" s="662">
        <f t="shared" si="36"/>
        <v>28153.02</v>
      </c>
      <c r="L67" s="662">
        <f t="shared" si="36"/>
        <v>34788.879999999997</v>
      </c>
      <c r="M67" s="662">
        <f t="shared" si="36"/>
        <v>43286.62</v>
      </c>
      <c r="N67" s="662">
        <f t="shared" si="36"/>
        <v>53242.720000000001</v>
      </c>
      <c r="O67" s="662">
        <f t="shared" si="36"/>
        <v>370617.37</v>
      </c>
      <c r="P67" s="568"/>
    </row>
    <row r="68" spans="1:18" s="554" customFormat="1">
      <c r="A68" s="643"/>
      <c r="B68" s="644"/>
      <c r="C68" s="661">
        <f t="shared" ref="C68:O68" si="37">C67-C58</f>
        <v>0</v>
      </c>
      <c r="D68" s="661">
        <f t="shared" si="37"/>
        <v>503</v>
      </c>
      <c r="E68" s="661">
        <f t="shared" si="37"/>
        <v>-291</v>
      </c>
      <c r="F68" s="661">
        <f t="shared" si="37"/>
        <v>-211</v>
      </c>
      <c r="G68" s="661">
        <f t="shared" si="37"/>
        <v>0</v>
      </c>
      <c r="H68" s="661">
        <f t="shared" si="37"/>
        <v>0</v>
      </c>
      <c r="I68" s="661">
        <f t="shared" si="37"/>
        <v>0</v>
      </c>
      <c r="J68" s="661">
        <f t="shared" si="37"/>
        <v>0</v>
      </c>
      <c r="K68" s="661">
        <f t="shared" si="37"/>
        <v>0</v>
      </c>
      <c r="L68" s="661">
        <f t="shared" si="37"/>
        <v>0</v>
      </c>
      <c r="M68" s="661">
        <f t="shared" si="37"/>
        <v>0</v>
      </c>
      <c r="N68" s="661">
        <f t="shared" si="37"/>
        <v>0</v>
      </c>
      <c r="O68" s="661">
        <f t="shared" si="37"/>
        <v>1</v>
      </c>
      <c r="P68" s="568"/>
    </row>
    <row r="69" spans="1:18" s="554" customFormat="1">
      <c r="A69" s="643"/>
      <c r="B69" s="644"/>
      <c r="C69" s="660"/>
      <c r="D69" s="660"/>
      <c r="E69" s="660"/>
      <c r="F69" s="660"/>
      <c r="G69" s="660"/>
      <c r="H69" s="660"/>
      <c r="I69" s="660"/>
      <c r="J69" s="660"/>
      <c r="K69" s="660"/>
      <c r="L69" s="660"/>
      <c r="M69" s="660"/>
      <c r="N69" s="660"/>
      <c r="O69" s="661"/>
      <c r="P69" s="568"/>
    </row>
    <row r="70" spans="1:18" s="554" customFormat="1">
      <c r="A70" s="643"/>
      <c r="B70" s="645" t="s">
        <v>757</v>
      </c>
      <c r="C70" s="664"/>
      <c r="D70" s="664"/>
      <c r="E70" s="664"/>
      <c r="F70" s="664"/>
      <c r="G70" s="664"/>
      <c r="H70" s="664"/>
      <c r="I70" s="664"/>
      <c r="J70" s="664"/>
      <c r="K70" s="664"/>
      <c r="L70" s="664"/>
      <c r="M70" s="664"/>
      <c r="N70" s="664"/>
      <c r="O70" s="644"/>
      <c r="P70" s="565"/>
    </row>
    <row r="71" spans="1:18" s="554" customFormat="1">
      <c r="A71" s="643"/>
      <c r="B71" s="644" t="s">
        <v>456</v>
      </c>
      <c r="C71" s="661"/>
      <c r="D71" s="661"/>
      <c r="E71" s="661"/>
      <c r="F71" s="661"/>
      <c r="G71" s="661"/>
      <c r="H71" s="661"/>
      <c r="I71" s="661"/>
      <c r="J71" s="661"/>
      <c r="K71" s="661"/>
      <c r="L71" s="661"/>
      <c r="M71" s="661"/>
      <c r="N71" s="661"/>
      <c r="O71" s="661">
        <f>SUM(C71:N71)</f>
        <v>0</v>
      </c>
      <c r="P71" s="565"/>
      <c r="R71" s="422">
        <v>0</v>
      </c>
    </row>
    <row r="72" spans="1:18" s="554" customFormat="1">
      <c r="A72" s="643"/>
      <c r="B72" s="644" t="s">
        <v>457</v>
      </c>
      <c r="C72" s="661" t="e">
        <f>'REVRUNS 12ME0623'!D436/'REVRUNS 12ME0623'!D438</f>
        <v>#DIV/0!</v>
      </c>
      <c r="D72" s="661" t="e">
        <f>'REVRUNS 12ME0623'!E436/'REVRUNS 12ME0623'!E438</f>
        <v>#DIV/0!</v>
      </c>
      <c r="E72" s="661" t="e">
        <f>'REVRUNS 12ME0623'!F436/'REVRUNS 12ME0623'!F438</f>
        <v>#DIV/0!</v>
      </c>
      <c r="F72" s="661" t="e">
        <f>'REVRUNS 12ME0623'!G436/'REVRUNS 12ME0623'!G438</f>
        <v>#DIV/0!</v>
      </c>
      <c r="G72" s="661" t="e">
        <f>'REVRUNS 12ME0623'!H436/'REVRUNS 12ME0623'!H438</f>
        <v>#DIV/0!</v>
      </c>
      <c r="H72" s="661" t="e">
        <f>'REVRUNS 12ME0623'!I436/'REVRUNS 12ME0623'!I438</f>
        <v>#DIV/0!</v>
      </c>
      <c r="I72" s="661" t="e">
        <f>'REVRUNS 12ME0623'!J436/'REVRUNS 12ME0623'!J438</f>
        <v>#DIV/0!</v>
      </c>
      <c r="J72" s="661" t="e">
        <f>'REVRUNS 12ME0623'!K436/'REVRUNS 12ME0623'!K438</f>
        <v>#DIV/0!</v>
      </c>
      <c r="K72" s="661" t="e">
        <f>'REVRUNS 12ME0623'!L436/'REVRUNS 12ME0623'!L438</f>
        <v>#DIV/0!</v>
      </c>
      <c r="L72" s="661" t="e">
        <f>'REVRUNS 12ME0623'!M436/'REVRUNS 12ME0623'!M438</f>
        <v>#DIV/0!</v>
      </c>
      <c r="M72" s="661" t="e">
        <f>'REVRUNS 12ME0623'!N436/'REVRUNS 12ME0623'!N438</f>
        <v>#DIV/0!</v>
      </c>
      <c r="N72" s="661" t="e">
        <f>'REVRUNS 12ME0623'!O436/'REVRUNS 12ME0623'!O438</f>
        <v>#DIV/0!</v>
      </c>
      <c r="O72" s="661" t="e">
        <f>SUM(C72:N72)</f>
        <v>#DIV/0!</v>
      </c>
      <c r="P72" s="577" t="e">
        <f>(O72-'REVRUNS 12ME0623'!D436/6.5)</f>
        <v>#DIV/0!</v>
      </c>
      <c r="R72" s="372">
        <v>0</v>
      </c>
    </row>
    <row r="73" spans="1:18" s="554" customFormat="1">
      <c r="A73" s="643" t="s">
        <v>462</v>
      </c>
      <c r="B73" s="645" t="s">
        <v>64</v>
      </c>
      <c r="C73" s="665" t="e">
        <f t="shared" ref="C73:H73" si="38">SUM(C71:C72)</f>
        <v>#DIV/0!</v>
      </c>
      <c r="D73" s="665" t="e">
        <f t="shared" si="38"/>
        <v>#DIV/0!</v>
      </c>
      <c r="E73" s="665" t="e">
        <f t="shared" si="38"/>
        <v>#DIV/0!</v>
      </c>
      <c r="F73" s="665" t="e">
        <f t="shared" si="38"/>
        <v>#DIV/0!</v>
      </c>
      <c r="G73" s="665" t="e">
        <f t="shared" si="38"/>
        <v>#DIV/0!</v>
      </c>
      <c r="H73" s="665" t="e">
        <f t="shared" si="38"/>
        <v>#DIV/0!</v>
      </c>
      <c r="I73" s="665" t="e">
        <f>SUM(I71:I72)</f>
        <v>#DIV/0!</v>
      </c>
      <c r="J73" s="665" t="e">
        <f t="shared" ref="J73:O73" si="39">SUM(J71:J72)</f>
        <v>#DIV/0!</v>
      </c>
      <c r="K73" s="665" t="e">
        <f t="shared" si="39"/>
        <v>#DIV/0!</v>
      </c>
      <c r="L73" s="665" t="e">
        <f t="shared" si="39"/>
        <v>#DIV/0!</v>
      </c>
      <c r="M73" s="665" t="e">
        <f t="shared" si="39"/>
        <v>#DIV/0!</v>
      </c>
      <c r="N73" s="665" t="e">
        <f t="shared" si="39"/>
        <v>#DIV/0!</v>
      </c>
      <c r="O73" s="665" t="e">
        <f t="shared" si="39"/>
        <v>#DIV/0!</v>
      </c>
      <c r="P73" s="565"/>
      <c r="R73" s="422">
        <f>SUM(R71:R72)</f>
        <v>0</v>
      </c>
    </row>
    <row r="74" spans="1:18" s="554" customFormat="1">
      <c r="A74" s="643"/>
      <c r="B74" s="644"/>
      <c r="C74" s="644"/>
      <c r="D74" s="644"/>
      <c r="E74" s="644"/>
      <c r="F74" s="644"/>
      <c r="G74" s="644"/>
      <c r="H74" s="644"/>
      <c r="I74" s="644"/>
      <c r="J74" s="644"/>
      <c r="K74" s="644"/>
      <c r="L74" s="644"/>
      <c r="M74" s="644"/>
      <c r="N74" s="644"/>
      <c r="O74" s="644"/>
      <c r="P74" s="565"/>
    </row>
    <row r="75" spans="1:18" s="554" customFormat="1">
      <c r="A75" s="643"/>
      <c r="B75" s="645" t="s">
        <v>757</v>
      </c>
      <c r="C75" s="644"/>
      <c r="D75" s="644"/>
      <c r="E75" s="644"/>
      <c r="F75" s="644"/>
      <c r="G75" s="644"/>
      <c r="H75" s="644"/>
      <c r="I75" s="644"/>
      <c r="J75" s="644"/>
      <c r="K75" s="644"/>
      <c r="L75" s="644"/>
      <c r="M75" s="644"/>
      <c r="N75" s="644"/>
      <c r="O75" s="644"/>
      <c r="P75" s="565"/>
    </row>
    <row r="76" spans="1:18" s="554" customFormat="1">
      <c r="A76" s="643"/>
      <c r="B76" s="644" t="s">
        <v>463</v>
      </c>
      <c r="C76" s="661">
        <f>'REVRUNS 12ME0623'!D437/'REVRUNS 12ME0623'!D439</f>
        <v>0</v>
      </c>
      <c r="D76" s="661">
        <f>'REVRUNS 12ME0623'!E437/'REVRUNS 12ME0623'!E439</f>
        <v>0</v>
      </c>
      <c r="E76" s="661">
        <f>'REVRUNS 12ME0623'!F437/'REVRUNS 12ME0623'!F439</f>
        <v>0</v>
      </c>
      <c r="F76" s="661">
        <f>'REVRUNS 12ME0623'!G437/'REVRUNS 12ME0623'!G439</f>
        <v>0</v>
      </c>
      <c r="G76" s="661">
        <f>'REVRUNS 12ME0623'!H437/'REVRUNS 12ME0623'!H439</f>
        <v>0</v>
      </c>
      <c r="H76" s="661">
        <f>'REVRUNS 12ME0623'!I437/'REVRUNS 12ME0623'!I439</f>
        <v>0</v>
      </c>
      <c r="I76" s="661">
        <f>'REVRUNS 12ME0623'!J437/'REVRUNS 12ME0623'!J439</f>
        <v>0</v>
      </c>
      <c r="J76" s="661">
        <f>'REVRUNS 12ME0623'!K437/'REVRUNS 12ME0623'!K439</f>
        <v>0</v>
      </c>
      <c r="K76" s="661">
        <f>'REVRUNS 12ME0623'!L437/'REVRUNS 12ME0623'!L439</f>
        <v>0</v>
      </c>
      <c r="L76" s="661">
        <f>'REVRUNS 12ME0623'!M437/'REVRUNS 12ME0623'!M439</f>
        <v>0</v>
      </c>
      <c r="M76" s="661">
        <f>'REVRUNS 12ME0623'!N437/'REVRUNS 12ME0623'!N439</f>
        <v>0</v>
      </c>
      <c r="N76" s="661">
        <f>'REVRUNS 12ME0623'!O437/'REVRUNS 12ME0623'!O439</f>
        <v>0</v>
      </c>
      <c r="O76" s="661">
        <f>SUM(C76:N76)</f>
        <v>0</v>
      </c>
      <c r="P76" s="565"/>
      <c r="R76" s="422">
        <v>0</v>
      </c>
    </row>
    <row r="77" spans="1:18" s="554" customFormat="1">
      <c r="A77" s="643"/>
      <c r="B77" s="644" t="s">
        <v>464</v>
      </c>
      <c r="C77" s="666">
        <v>0.5</v>
      </c>
      <c r="D77" s="666">
        <v>0.5</v>
      </c>
      <c r="E77" s="666">
        <v>0.5</v>
      </c>
      <c r="F77" s="666">
        <v>0.5</v>
      </c>
      <c r="G77" s="666">
        <v>0.5</v>
      </c>
      <c r="H77" s="666">
        <v>0.5</v>
      </c>
      <c r="I77" s="666">
        <v>0.5</v>
      </c>
      <c r="J77" s="666">
        <v>0.5</v>
      </c>
      <c r="K77" s="666">
        <v>0.5</v>
      </c>
      <c r="L77" s="666">
        <v>0.5</v>
      </c>
      <c r="M77" s="666">
        <v>0.5</v>
      </c>
      <c r="N77" s="666">
        <v>0.5</v>
      </c>
      <c r="O77" s="666">
        <v>0.5</v>
      </c>
      <c r="P77" s="565"/>
    </row>
    <row r="78" spans="1:18" s="554" customFormat="1">
      <c r="A78" s="643"/>
      <c r="B78" s="644" t="s">
        <v>465</v>
      </c>
      <c r="C78" s="666">
        <f t="shared" ref="C78:O78" si="40">C76*C77</f>
        <v>0</v>
      </c>
      <c r="D78" s="666">
        <f t="shared" si="40"/>
        <v>0</v>
      </c>
      <c r="E78" s="666">
        <f t="shared" si="40"/>
        <v>0</v>
      </c>
      <c r="F78" s="666">
        <f t="shared" si="40"/>
        <v>0</v>
      </c>
      <c r="G78" s="666">
        <f t="shared" si="40"/>
        <v>0</v>
      </c>
      <c r="H78" s="666">
        <f t="shared" si="40"/>
        <v>0</v>
      </c>
      <c r="I78" s="666">
        <f t="shared" si="40"/>
        <v>0</v>
      </c>
      <c r="J78" s="666">
        <f t="shared" si="40"/>
        <v>0</v>
      </c>
      <c r="K78" s="666">
        <f t="shared" si="40"/>
        <v>0</v>
      </c>
      <c r="L78" s="666">
        <f t="shared" si="40"/>
        <v>0</v>
      </c>
      <c r="M78" s="666">
        <f t="shared" si="40"/>
        <v>0</v>
      </c>
      <c r="N78" s="666">
        <f t="shared" si="40"/>
        <v>0</v>
      </c>
      <c r="O78" s="666">
        <f t="shared" si="40"/>
        <v>0</v>
      </c>
      <c r="P78" s="580">
        <f>'REVRUNS 12ME0623'!P437-O78</f>
        <v>0</v>
      </c>
    </row>
    <row r="79" spans="1:18" s="554" customFormat="1" ht="13.5" thickBot="1">
      <c r="A79" s="569"/>
      <c r="B79" s="440"/>
      <c r="C79" s="440"/>
      <c r="D79" s="440"/>
      <c r="E79" s="440"/>
      <c r="F79" s="440"/>
      <c r="G79" s="440"/>
      <c r="H79" s="440"/>
      <c r="I79" s="581"/>
      <c r="J79" s="581"/>
      <c r="K79" s="581"/>
      <c r="L79" s="581"/>
      <c r="M79" s="581"/>
      <c r="N79" s="581"/>
      <c r="O79" s="440"/>
      <c r="P79" s="582"/>
    </row>
    <row r="80" spans="1:18">
      <c r="A80" s="557"/>
      <c r="B80" s="623" t="s">
        <v>466</v>
      </c>
      <c r="C80" s="559"/>
      <c r="D80" s="559"/>
      <c r="E80" s="559"/>
      <c r="F80" s="559"/>
      <c r="G80" s="559"/>
      <c r="H80" s="559"/>
      <c r="I80" s="583"/>
      <c r="J80" s="583"/>
      <c r="K80" s="583"/>
      <c r="L80" s="583"/>
      <c r="M80" s="583"/>
      <c r="N80" s="583"/>
      <c r="O80" s="559"/>
      <c r="P80" s="561"/>
    </row>
    <row r="81" spans="1:19">
      <c r="A81" s="562"/>
      <c r="B81" s="447" t="s">
        <v>456</v>
      </c>
      <c r="C81" s="563">
        <f>'REVRUNS 12ME0623'!D138+'REVRUNS 12ME0623'!D152</f>
        <v>96169689.993999988</v>
      </c>
      <c r="D81" s="563">
        <f>'REVRUNS 12ME0623'!E138+'REVRUNS 12ME0623'!E152</f>
        <v>106094177.51199999</v>
      </c>
      <c r="E81" s="563">
        <f>'REVRUNS 12ME0623'!F138+'REVRUNS 12ME0623'!F152</f>
        <v>102041466.85499999</v>
      </c>
      <c r="F81" s="563">
        <f>'REVRUNS 12ME0623'!G138+'REVRUNS 12ME0623'!G152</f>
        <v>94569098.804999992</v>
      </c>
      <c r="G81" s="563">
        <f>'REVRUNS 12ME0623'!H138+'REVRUNS 12ME0623'!H152</f>
        <v>92283910.316</v>
      </c>
      <c r="H81" s="563">
        <f>'REVRUNS 12ME0623'!I138+'REVRUNS 12ME0623'!I152</f>
        <v>106773630.832</v>
      </c>
      <c r="I81" s="563">
        <f>'REVRUNS 12ME0623'!J138+'REVRUNS 12ME0623'!J152</f>
        <v>108234127.55135</v>
      </c>
      <c r="J81" s="563">
        <f>'REVRUNS 12ME0623'!K138+'REVRUNS 12ME0623'!K152</f>
        <v>80417612.188329995</v>
      </c>
      <c r="K81" s="563">
        <f>'REVRUNS 12ME0623'!L138+'REVRUNS 12ME0623'!L152</f>
        <v>114846231.36466001</v>
      </c>
      <c r="L81" s="563">
        <f>'REVRUNS 12ME0623'!M138+'REVRUNS 12ME0623'!M152</f>
        <v>86052192.638999999</v>
      </c>
      <c r="M81" s="563">
        <f>'REVRUNS 12ME0623'!N138+'REVRUNS 12ME0623'!N152</f>
        <v>98837844.930000007</v>
      </c>
      <c r="N81" s="563">
        <f>'REVRUNS 12ME0623'!O138+'REVRUNS 12ME0623'!O152</f>
        <v>94953605.835000008</v>
      </c>
      <c r="O81" s="564">
        <f>SUM(C81:N81)</f>
        <v>1181273588.82234</v>
      </c>
      <c r="P81" s="565"/>
      <c r="R81" s="42">
        <v>0</v>
      </c>
      <c r="S81" s="373" t="e">
        <f>R81/$R$83</f>
        <v>#DIV/0!</v>
      </c>
    </row>
    <row r="82" spans="1:19">
      <c r="A82" s="562"/>
      <c r="B82" s="447" t="s">
        <v>457</v>
      </c>
      <c r="C82" s="563">
        <f>'REVRUNS 12ME0623'!D139+'REVRUNS 12ME0623'!D153</f>
        <v>12627026.499</v>
      </c>
      <c r="D82" s="563">
        <f>'REVRUNS 12ME0623'!E139+'REVRUNS 12ME0623'!E153</f>
        <v>17276666.181000002</v>
      </c>
      <c r="E82" s="563">
        <f>'REVRUNS 12ME0623'!F139+'REVRUNS 12ME0623'!F153</f>
        <v>15008371.739</v>
      </c>
      <c r="F82" s="563">
        <f>'REVRUNS 12ME0623'!G139+'REVRUNS 12ME0623'!G153</f>
        <v>11052568.51</v>
      </c>
      <c r="G82" s="563">
        <f>'REVRUNS 12ME0623'!H139+'REVRUNS 12ME0623'!H153</f>
        <v>9646407.1439999994</v>
      </c>
      <c r="H82" s="563">
        <f>'REVRUNS 12ME0623'!I139+'REVRUNS 12ME0623'!I153</f>
        <v>14161894.070999999</v>
      </c>
      <c r="I82" s="563">
        <f>'REVRUNS 12ME0623'!J139+'REVRUNS 12ME0623'!J153</f>
        <v>12693688.173669999</v>
      </c>
      <c r="J82" s="563">
        <f>'REVRUNS 12ME0623'!K139+'REVRUNS 12ME0623'!K153</f>
        <v>8529597.6376699992</v>
      </c>
      <c r="K82" s="563">
        <f>'REVRUNS 12ME0623'!L139+'REVRUNS 12ME0623'!L153</f>
        <v>12520349.32834</v>
      </c>
      <c r="L82" s="563">
        <f>'REVRUNS 12ME0623'!M139+'REVRUNS 12ME0623'!M153</f>
        <v>8232346.5130000003</v>
      </c>
      <c r="M82" s="563">
        <f>'REVRUNS 12ME0623'!N139+'REVRUNS 12ME0623'!N153</f>
        <v>10618475.960000001</v>
      </c>
      <c r="N82" s="563">
        <f>'REVRUNS 12ME0623'!O139+'REVRUNS 12ME0623'!O153</f>
        <v>11754363.051999999</v>
      </c>
      <c r="O82" s="564">
        <f>SUM(C82:N82)</f>
        <v>144121754.80867997</v>
      </c>
      <c r="P82" s="565"/>
      <c r="R82" s="372">
        <v>0</v>
      </c>
      <c r="S82" s="374" t="e">
        <f>R82/$R$83</f>
        <v>#DIV/0!</v>
      </c>
    </row>
    <row r="83" spans="1:19">
      <c r="A83" s="562" t="s">
        <v>458</v>
      </c>
      <c r="B83" s="535" t="s">
        <v>64</v>
      </c>
      <c r="C83" s="368">
        <f t="shared" ref="C83:H83" si="41">SUM(C81:C82)</f>
        <v>108796716.49299999</v>
      </c>
      <c r="D83" s="368">
        <f t="shared" si="41"/>
        <v>123370843.69299999</v>
      </c>
      <c r="E83" s="368">
        <f t="shared" si="41"/>
        <v>117049838.59399998</v>
      </c>
      <c r="F83" s="368">
        <f t="shared" si="41"/>
        <v>105621667.315</v>
      </c>
      <c r="G83" s="368">
        <f t="shared" si="41"/>
        <v>101930317.45999999</v>
      </c>
      <c r="H83" s="368">
        <f t="shared" si="41"/>
        <v>120935524.903</v>
      </c>
      <c r="I83" s="368">
        <f>SUM(I81:I82)</f>
        <v>120927815.72501999</v>
      </c>
      <c r="J83" s="368">
        <f t="shared" ref="J83:O83" si="42">SUM(J81:J82)</f>
        <v>88947209.82599999</v>
      </c>
      <c r="K83" s="368">
        <f t="shared" si="42"/>
        <v>127366580.693</v>
      </c>
      <c r="L83" s="368">
        <f t="shared" si="42"/>
        <v>94284539.151999995</v>
      </c>
      <c r="M83" s="368">
        <f t="shared" si="42"/>
        <v>109456320.89000002</v>
      </c>
      <c r="N83" s="368">
        <f t="shared" si="42"/>
        <v>106707968.88700001</v>
      </c>
      <c r="O83" s="368">
        <f t="shared" si="42"/>
        <v>1325395343.6310201</v>
      </c>
      <c r="P83" s="565"/>
      <c r="R83" s="42">
        <f>SUM(R81:R82)</f>
        <v>0</v>
      </c>
      <c r="S83" s="81" t="e">
        <f>SUM(S81:S82)</f>
        <v>#DIV/0!</v>
      </c>
    </row>
    <row r="84" spans="1:19">
      <c r="A84" s="562"/>
      <c r="B84" s="447" t="s">
        <v>72</v>
      </c>
      <c r="C84" s="427">
        <f>'REVRUNS 12ME0623'!D337</f>
        <v>108796716.49299999</v>
      </c>
      <c r="D84" s="427">
        <f>'REVRUNS 12ME0623'!E337</f>
        <v>123370843.69299999</v>
      </c>
      <c r="E84" s="427">
        <f>'REVRUNS 12ME0623'!F337</f>
        <v>117049838.59399998</v>
      </c>
      <c r="F84" s="427">
        <f>'REVRUNS 12ME0623'!G337</f>
        <v>105621667.315</v>
      </c>
      <c r="G84" s="427">
        <f>'REVRUNS 12ME0623'!H337</f>
        <v>101930317.45999999</v>
      </c>
      <c r="H84" s="427">
        <f>'REVRUNS 12ME0623'!I337</f>
        <v>120935524.903</v>
      </c>
      <c r="I84" s="427">
        <f>'REVRUNS 12ME0623'!J337</f>
        <v>120927815.72501999</v>
      </c>
      <c r="J84" s="427">
        <f>'REVRUNS 12ME0623'!K337</f>
        <v>88947209.826000005</v>
      </c>
      <c r="K84" s="427">
        <f>'REVRUNS 12ME0623'!L337</f>
        <v>127366580.693</v>
      </c>
      <c r="L84" s="427">
        <f>'REVRUNS 12ME0623'!M337</f>
        <v>94284539.151999995</v>
      </c>
      <c r="M84" s="427">
        <f>'REVRUNS 12ME0623'!N337</f>
        <v>109456320.89000002</v>
      </c>
      <c r="N84" s="427">
        <f>'REVRUNS 12ME0623'!O337</f>
        <v>106707968.88700001</v>
      </c>
      <c r="O84" s="564">
        <f>SUM(C84:N84)</f>
        <v>1325395343.6310201</v>
      </c>
      <c r="P84" s="565"/>
    </row>
    <row r="85" spans="1:19">
      <c r="A85" s="562"/>
      <c r="B85" s="447"/>
      <c r="C85" s="45">
        <f t="shared" ref="C85:N85" si="43">C84-C83</f>
        <v>0</v>
      </c>
      <c r="D85" s="45">
        <f t="shared" si="43"/>
        <v>0</v>
      </c>
      <c r="E85" s="45">
        <f t="shared" si="43"/>
        <v>0</v>
      </c>
      <c r="F85" s="45">
        <f t="shared" si="43"/>
        <v>0</v>
      </c>
      <c r="G85" s="45">
        <f t="shared" si="43"/>
        <v>0</v>
      </c>
      <c r="H85" s="45">
        <f t="shared" si="43"/>
        <v>0</v>
      </c>
      <c r="I85" s="45">
        <f t="shared" si="43"/>
        <v>0</v>
      </c>
      <c r="J85" s="271">
        <f t="shared" si="43"/>
        <v>0</v>
      </c>
      <c r="K85" s="271">
        <f t="shared" si="43"/>
        <v>0</v>
      </c>
      <c r="L85" s="45">
        <f t="shared" si="43"/>
        <v>0</v>
      </c>
      <c r="M85" s="271">
        <f t="shared" si="43"/>
        <v>0</v>
      </c>
      <c r="N85" s="45">
        <f t="shared" si="43"/>
        <v>0</v>
      </c>
      <c r="O85" s="564">
        <f>SUM(C85:N85)</f>
        <v>0</v>
      </c>
      <c r="P85" s="568">
        <f>O85/O84</f>
        <v>0</v>
      </c>
    </row>
    <row r="86" spans="1:19">
      <c r="A86" s="562"/>
      <c r="B86" s="447"/>
      <c r="C86" s="45"/>
      <c r="D86" s="45"/>
      <c r="E86" s="45"/>
      <c r="F86" s="45"/>
      <c r="G86" s="45"/>
      <c r="H86" s="45"/>
      <c r="I86" s="45"/>
      <c r="J86" s="271"/>
      <c r="K86" s="271"/>
      <c r="L86" s="45"/>
      <c r="M86" s="271"/>
      <c r="N86" s="45"/>
      <c r="O86" s="564"/>
      <c r="P86" s="568"/>
    </row>
    <row r="87" spans="1:19">
      <c r="A87" s="562"/>
      <c r="B87" s="447" t="s">
        <v>456</v>
      </c>
      <c r="C87" s="371">
        <f>(C81/C$83)*C$85</f>
        <v>0</v>
      </c>
      <c r="D87" s="371">
        <f t="shared" ref="D87:N87" si="44">(D81/D$83)*D$85</f>
        <v>0</v>
      </c>
      <c r="E87" s="371">
        <f t="shared" si="44"/>
        <v>0</v>
      </c>
      <c r="F87" s="371">
        <f t="shared" si="44"/>
        <v>0</v>
      </c>
      <c r="G87" s="371">
        <f t="shared" si="44"/>
        <v>0</v>
      </c>
      <c r="H87" s="371">
        <f t="shared" si="44"/>
        <v>0</v>
      </c>
      <c r="I87" s="371">
        <f t="shared" si="44"/>
        <v>0</v>
      </c>
      <c r="J87" s="371">
        <f t="shared" si="44"/>
        <v>0</v>
      </c>
      <c r="K87" s="371">
        <f t="shared" si="44"/>
        <v>0</v>
      </c>
      <c r="L87" s="371">
        <f t="shared" si="44"/>
        <v>0</v>
      </c>
      <c r="M87" s="371">
        <f t="shared" si="44"/>
        <v>0</v>
      </c>
      <c r="N87" s="371">
        <f t="shared" si="44"/>
        <v>0</v>
      </c>
      <c r="O87" s="371">
        <f>SUM(C87:N87)</f>
        <v>0</v>
      </c>
      <c r="P87" s="568"/>
    </row>
    <row r="88" spans="1:19">
      <c r="A88" s="562"/>
      <c r="B88" s="447" t="s">
        <v>457</v>
      </c>
      <c r="C88" s="370">
        <f>(C82/C$83)*C$85</f>
        <v>0</v>
      </c>
      <c r="D88" s="370">
        <f t="shared" ref="D88:N88" si="45">(D82/D$83)*D$85</f>
        <v>0</v>
      </c>
      <c r="E88" s="370">
        <f t="shared" si="45"/>
        <v>0</v>
      </c>
      <c r="F88" s="370">
        <f t="shared" si="45"/>
        <v>0</v>
      </c>
      <c r="G88" s="370">
        <f t="shared" si="45"/>
        <v>0</v>
      </c>
      <c r="H88" s="370">
        <f t="shared" si="45"/>
        <v>0</v>
      </c>
      <c r="I88" s="370">
        <f t="shared" si="45"/>
        <v>0</v>
      </c>
      <c r="J88" s="370">
        <f t="shared" si="45"/>
        <v>0</v>
      </c>
      <c r="K88" s="370">
        <f t="shared" si="45"/>
        <v>0</v>
      </c>
      <c r="L88" s="370">
        <f t="shared" si="45"/>
        <v>0</v>
      </c>
      <c r="M88" s="370">
        <f t="shared" si="45"/>
        <v>0</v>
      </c>
      <c r="N88" s="370">
        <f t="shared" si="45"/>
        <v>0</v>
      </c>
      <c r="O88" s="370">
        <f>SUM(C88:N88)</f>
        <v>0</v>
      </c>
      <c r="P88" s="568"/>
    </row>
    <row r="89" spans="1:19">
      <c r="A89" s="562"/>
      <c r="B89" s="447"/>
      <c r="C89" s="371">
        <f t="shared" ref="C89:O89" si="46">SUM(C87:C88)</f>
        <v>0</v>
      </c>
      <c r="D89" s="371">
        <f t="shared" si="46"/>
        <v>0</v>
      </c>
      <c r="E89" s="371">
        <f t="shared" si="46"/>
        <v>0</v>
      </c>
      <c r="F89" s="371">
        <f t="shared" si="46"/>
        <v>0</v>
      </c>
      <c r="G89" s="371">
        <f t="shared" si="46"/>
        <v>0</v>
      </c>
      <c r="H89" s="371">
        <f t="shared" si="46"/>
        <v>0</v>
      </c>
      <c r="I89" s="371">
        <f t="shared" si="46"/>
        <v>0</v>
      </c>
      <c r="J89" s="371">
        <f t="shared" si="46"/>
        <v>0</v>
      </c>
      <c r="K89" s="371">
        <f t="shared" si="46"/>
        <v>0</v>
      </c>
      <c r="L89" s="371">
        <f t="shared" si="46"/>
        <v>0</v>
      </c>
      <c r="M89" s="371">
        <f t="shared" si="46"/>
        <v>0</v>
      </c>
      <c r="N89" s="371">
        <f t="shared" si="46"/>
        <v>0</v>
      </c>
      <c r="O89" s="371">
        <f t="shared" si="46"/>
        <v>0</v>
      </c>
      <c r="P89" s="568"/>
    </row>
    <row r="90" spans="1:19">
      <c r="A90" s="562"/>
      <c r="B90" s="447"/>
      <c r="C90" s="371"/>
      <c r="D90" s="371"/>
      <c r="E90" s="371"/>
      <c r="F90" s="371"/>
      <c r="G90" s="371"/>
      <c r="H90" s="371"/>
      <c r="I90" s="371"/>
      <c r="J90" s="371"/>
      <c r="K90" s="371"/>
      <c r="L90" s="371"/>
      <c r="M90" s="371"/>
      <c r="N90" s="371"/>
      <c r="O90" s="371"/>
      <c r="P90" s="568"/>
    </row>
    <row r="91" spans="1:19">
      <c r="A91" s="562"/>
      <c r="B91" s="447" t="s">
        <v>456</v>
      </c>
      <c r="C91" s="371">
        <f>C81+C87</f>
        <v>96169689.993999988</v>
      </c>
      <c r="D91" s="371">
        <f t="shared" ref="D91:N91" si="47">D81+D87</f>
        <v>106094177.51199999</v>
      </c>
      <c r="E91" s="371">
        <f t="shared" si="47"/>
        <v>102041466.85499999</v>
      </c>
      <c r="F91" s="371">
        <f t="shared" si="47"/>
        <v>94569098.804999992</v>
      </c>
      <c r="G91" s="371">
        <f t="shared" si="47"/>
        <v>92283910.316</v>
      </c>
      <c r="H91" s="371">
        <f t="shared" si="47"/>
        <v>106773630.832</v>
      </c>
      <c r="I91" s="371">
        <f t="shared" si="47"/>
        <v>108234127.55135</v>
      </c>
      <c r="J91" s="371">
        <f t="shared" si="47"/>
        <v>80417612.188329995</v>
      </c>
      <c r="K91" s="371">
        <f t="shared" si="47"/>
        <v>114846231.36466001</v>
      </c>
      <c r="L91" s="371">
        <f t="shared" si="47"/>
        <v>86052192.638999999</v>
      </c>
      <c r="M91" s="371">
        <f t="shared" si="47"/>
        <v>98837844.930000007</v>
      </c>
      <c r="N91" s="371">
        <f t="shared" si="47"/>
        <v>94953605.835000008</v>
      </c>
      <c r="O91" s="371">
        <f>SUM(C91:N91)</f>
        <v>1181273588.82234</v>
      </c>
      <c r="P91" s="568"/>
    </row>
    <row r="92" spans="1:19">
      <c r="A92" s="562"/>
      <c r="B92" s="447" t="s">
        <v>457</v>
      </c>
      <c r="C92" s="370">
        <f>C82+C88</f>
        <v>12627026.499</v>
      </c>
      <c r="D92" s="370">
        <f t="shared" ref="D92:N92" si="48">D82+D88</f>
        <v>17276666.181000002</v>
      </c>
      <c r="E92" s="370">
        <f t="shared" si="48"/>
        <v>15008371.739</v>
      </c>
      <c r="F92" s="370">
        <f t="shared" si="48"/>
        <v>11052568.51</v>
      </c>
      <c r="G92" s="370">
        <f t="shared" si="48"/>
        <v>9646407.1439999994</v>
      </c>
      <c r="H92" s="370">
        <f t="shared" si="48"/>
        <v>14161894.070999999</v>
      </c>
      <c r="I92" s="370">
        <f t="shared" si="48"/>
        <v>12693688.173669999</v>
      </c>
      <c r="J92" s="370">
        <f t="shared" si="48"/>
        <v>8529597.6376699992</v>
      </c>
      <c r="K92" s="370">
        <f t="shared" si="48"/>
        <v>12520349.32834</v>
      </c>
      <c r="L92" s="370">
        <f t="shared" si="48"/>
        <v>8232346.5130000003</v>
      </c>
      <c r="M92" s="370">
        <f t="shared" si="48"/>
        <v>10618475.960000001</v>
      </c>
      <c r="N92" s="370">
        <f t="shared" si="48"/>
        <v>11754363.051999999</v>
      </c>
      <c r="O92" s="370">
        <f>SUM(C92:N92)</f>
        <v>144121754.80867997</v>
      </c>
      <c r="P92" s="568"/>
    </row>
    <row r="93" spans="1:19">
      <c r="A93" s="562"/>
      <c r="B93" s="447"/>
      <c r="C93" s="371">
        <f t="shared" ref="C93:O93" si="49">SUM(C91:C92)</f>
        <v>108796716.49299999</v>
      </c>
      <c r="D93" s="371">
        <f t="shared" si="49"/>
        <v>123370843.69299999</v>
      </c>
      <c r="E93" s="371">
        <f t="shared" si="49"/>
        <v>117049838.59399998</v>
      </c>
      <c r="F93" s="371">
        <f t="shared" si="49"/>
        <v>105621667.315</v>
      </c>
      <c r="G93" s="371">
        <f t="shared" si="49"/>
        <v>101930317.45999999</v>
      </c>
      <c r="H93" s="371">
        <f t="shared" si="49"/>
        <v>120935524.903</v>
      </c>
      <c r="I93" s="371">
        <f t="shared" si="49"/>
        <v>120927815.72501999</v>
      </c>
      <c r="J93" s="371">
        <f t="shared" si="49"/>
        <v>88947209.82599999</v>
      </c>
      <c r="K93" s="371">
        <f t="shared" si="49"/>
        <v>127366580.693</v>
      </c>
      <c r="L93" s="371">
        <f t="shared" si="49"/>
        <v>94284539.151999995</v>
      </c>
      <c r="M93" s="371">
        <f t="shared" si="49"/>
        <v>109456320.89000002</v>
      </c>
      <c r="N93" s="371">
        <f t="shared" si="49"/>
        <v>106707968.88700001</v>
      </c>
      <c r="O93" s="371">
        <f t="shared" si="49"/>
        <v>1325395343.6310201</v>
      </c>
      <c r="P93" s="568"/>
    </row>
    <row r="94" spans="1:19">
      <c r="A94" s="562"/>
      <c r="B94" s="447"/>
      <c r="C94" s="564">
        <f t="shared" ref="C94:O94" si="50">C93-C84</f>
        <v>0</v>
      </c>
      <c r="D94" s="564">
        <f t="shared" si="50"/>
        <v>0</v>
      </c>
      <c r="E94" s="564">
        <f t="shared" si="50"/>
        <v>0</v>
      </c>
      <c r="F94" s="564">
        <f t="shared" si="50"/>
        <v>0</v>
      </c>
      <c r="G94" s="564">
        <f t="shared" si="50"/>
        <v>0</v>
      </c>
      <c r="H94" s="564">
        <f t="shared" si="50"/>
        <v>0</v>
      </c>
      <c r="I94" s="564">
        <f t="shared" si="50"/>
        <v>0</v>
      </c>
      <c r="J94" s="564">
        <f t="shared" si="50"/>
        <v>0</v>
      </c>
      <c r="K94" s="564">
        <f t="shared" si="50"/>
        <v>0</v>
      </c>
      <c r="L94" s="564">
        <f t="shared" si="50"/>
        <v>0</v>
      </c>
      <c r="M94" s="564">
        <f t="shared" si="50"/>
        <v>0</v>
      </c>
      <c r="N94" s="564">
        <f t="shared" si="50"/>
        <v>0</v>
      </c>
      <c r="O94" s="564">
        <f t="shared" si="50"/>
        <v>0</v>
      </c>
      <c r="P94" s="568"/>
    </row>
    <row r="95" spans="1:19">
      <c r="A95" s="562"/>
      <c r="B95" s="447"/>
      <c r="C95" s="45"/>
      <c r="D95" s="45"/>
      <c r="E95" s="45"/>
      <c r="F95" s="45"/>
      <c r="G95" s="45"/>
      <c r="H95" s="45"/>
      <c r="I95" s="45"/>
      <c r="J95" s="271"/>
      <c r="K95" s="271"/>
      <c r="L95" s="45"/>
      <c r="M95" s="271"/>
      <c r="N95" s="45"/>
      <c r="O95" s="564"/>
      <c r="P95" s="568"/>
    </row>
    <row r="96" spans="1:19">
      <c r="A96" s="575"/>
      <c r="B96" s="535" t="s">
        <v>466</v>
      </c>
      <c r="C96" s="447"/>
      <c r="D96" s="447"/>
      <c r="E96" s="447"/>
      <c r="F96" s="447"/>
      <c r="G96" s="447"/>
      <c r="H96" s="447"/>
      <c r="I96" s="447"/>
      <c r="J96" s="447"/>
      <c r="K96" s="447"/>
      <c r="L96" s="447"/>
      <c r="M96" s="447"/>
      <c r="N96" s="447"/>
      <c r="O96" s="447"/>
      <c r="P96" s="565"/>
    </row>
    <row r="97" spans="1:19">
      <c r="A97" s="562"/>
      <c r="B97" s="447" t="s">
        <v>456</v>
      </c>
      <c r="C97" s="563"/>
      <c r="D97" s="563"/>
      <c r="E97" s="563"/>
      <c r="F97" s="563"/>
      <c r="G97" s="563"/>
      <c r="H97" s="563"/>
      <c r="I97" s="563"/>
      <c r="J97" s="563"/>
      <c r="K97" s="563"/>
      <c r="L97" s="563"/>
      <c r="M97" s="563"/>
      <c r="N97" s="563"/>
      <c r="O97" s="564">
        <f>SUM(C97:N97)</f>
        <v>0</v>
      </c>
      <c r="P97" s="565"/>
      <c r="R97" s="42">
        <v>0</v>
      </c>
    </row>
    <row r="98" spans="1:19">
      <c r="A98" s="562"/>
      <c r="B98" s="447" t="s">
        <v>457</v>
      </c>
      <c r="C98" s="567">
        <f>('REVRUNS 12ME0623'!D441+'REVRUNS 12ME0623'!D448)/7</f>
        <v>226969.01571428572</v>
      </c>
      <c r="D98" s="567">
        <f>('REVRUNS 12ME0623'!E441+'REVRUNS 12ME0623'!E448)/7</f>
        <v>244674.7242857143</v>
      </c>
      <c r="E98" s="567">
        <f>('REVRUNS 12ME0623'!F441+'REVRUNS 12ME0623'!F448)/7</f>
        <v>242853.2542857143</v>
      </c>
      <c r="F98" s="567">
        <f>('REVRUNS 12ME0623'!G441+'REVRUNS 12ME0623'!G448)/7</f>
        <v>212537.16142857145</v>
      </c>
      <c r="G98" s="567">
        <f>('REVRUNS 12ME0623'!H441+'REVRUNS 12ME0623'!H448)/7</f>
        <v>201336.90142857144</v>
      </c>
      <c r="H98" s="567">
        <f>('REVRUNS 12ME0623'!I441+'REVRUNS 12ME0623'!I448)/7.5</f>
        <v>203950.96400000001</v>
      </c>
      <c r="I98" s="567">
        <f>('REVRUNS 12ME0623'!J441+'REVRUNS 12ME0623'!J448)/7.5</f>
        <v>207187.94533333334</v>
      </c>
      <c r="J98" s="567">
        <f>('REVRUNS 12ME0623'!K441+'REVRUNS 12ME0623'!K448)/7.5</f>
        <v>156922.32399999999</v>
      </c>
      <c r="K98" s="567">
        <f>('REVRUNS 12ME0623'!L441+'REVRUNS 12ME0623'!L448)/7.5</f>
        <v>253899.22666666665</v>
      </c>
      <c r="L98" s="567">
        <f>('REVRUNS 12ME0623'!M441+'REVRUNS 12ME0623'!M448)/7.5</f>
        <v>180632.17733333333</v>
      </c>
      <c r="M98" s="567">
        <f>('REVRUNS 12ME0623'!N441+'REVRUNS 12ME0623'!N448)/7.5</f>
        <v>237470.11200000002</v>
      </c>
      <c r="N98" s="567">
        <f>('REVRUNS 12ME0623'!O441+'REVRUNS 12ME0623'!O448)/7.5</f>
        <v>231566.568</v>
      </c>
      <c r="O98" s="567">
        <f>SUM(C98:N98)</f>
        <v>2600000.3744761907</v>
      </c>
      <c r="P98" s="577">
        <f>('REVRUNS 12ME0623'!P441+'REVRUNS 12ME0623'!P448)/7.25-O98</f>
        <v>11836.491730705835</v>
      </c>
      <c r="R98" s="372">
        <v>0</v>
      </c>
    </row>
    <row r="99" spans="1:19">
      <c r="A99" s="562" t="s">
        <v>462</v>
      </c>
      <c r="B99" s="535" t="s">
        <v>64</v>
      </c>
      <c r="C99" s="368">
        <f t="shared" ref="C99:O99" si="51">SUM(C97:C98)</f>
        <v>226969.01571428572</v>
      </c>
      <c r="D99" s="368">
        <f t="shared" si="51"/>
        <v>244674.7242857143</v>
      </c>
      <c r="E99" s="368">
        <f t="shared" si="51"/>
        <v>242853.2542857143</v>
      </c>
      <c r="F99" s="368">
        <f t="shared" si="51"/>
        <v>212537.16142857145</v>
      </c>
      <c r="G99" s="368">
        <f t="shared" si="51"/>
        <v>201336.90142857144</v>
      </c>
      <c r="H99" s="368">
        <f t="shared" si="51"/>
        <v>203950.96400000001</v>
      </c>
      <c r="I99" s="368">
        <f t="shared" si="51"/>
        <v>207187.94533333334</v>
      </c>
      <c r="J99" s="368">
        <f t="shared" si="51"/>
        <v>156922.32399999999</v>
      </c>
      <c r="K99" s="368">
        <f t="shared" si="51"/>
        <v>253899.22666666665</v>
      </c>
      <c r="L99" s="368">
        <f t="shared" si="51"/>
        <v>180632.17733333333</v>
      </c>
      <c r="M99" s="368">
        <f t="shared" si="51"/>
        <v>237470.11200000002</v>
      </c>
      <c r="N99" s="368">
        <f t="shared" si="51"/>
        <v>231566.568</v>
      </c>
      <c r="O99" s="368">
        <f t="shared" si="51"/>
        <v>2600000.3744761907</v>
      </c>
      <c r="P99" s="565"/>
      <c r="R99" s="42">
        <f>SUM(R97:R98)</f>
        <v>0</v>
      </c>
    </row>
    <row r="100" spans="1:19">
      <c r="A100" s="562"/>
      <c r="B100" s="447"/>
      <c r="C100" s="447"/>
      <c r="D100" s="447"/>
      <c r="E100" s="447"/>
      <c r="F100" s="447"/>
      <c r="G100" s="447"/>
      <c r="H100" s="447"/>
      <c r="I100" s="447"/>
      <c r="J100" s="447"/>
      <c r="K100" s="447"/>
      <c r="L100" s="447"/>
      <c r="M100" s="447"/>
      <c r="N100" s="447"/>
      <c r="O100" s="447"/>
      <c r="P100" s="565"/>
    </row>
    <row r="101" spans="1:19">
      <c r="A101" s="575"/>
      <c r="B101" s="535" t="s">
        <v>466</v>
      </c>
      <c r="C101" s="447"/>
      <c r="D101" s="447"/>
      <c r="E101" s="447"/>
      <c r="F101" s="447"/>
      <c r="G101" s="447"/>
      <c r="H101" s="447"/>
      <c r="I101" s="447"/>
      <c r="J101" s="447"/>
      <c r="K101" s="447"/>
      <c r="L101" s="447"/>
      <c r="M101" s="447"/>
      <c r="N101" s="447"/>
      <c r="O101" s="447"/>
      <c r="P101" s="565"/>
    </row>
    <row r="102" spans="1:19">
      <c r="A102" s="562"/>
      <c r="B102" s="447" t="s">
        <v>463</v>
      </c>
      <c r="C102" s="567">
        <f>('REVRUNS 12ME0623'!D442+'REVRUNS 12ME0623'!D449)/0.5</f>
        <v>30837.84</v>
      </c>
      <c r="D102" s="567">
        <f>('REVRUNS 12ME0623'!E442+'REVRUNS 12ME0623'!E449)/0.5</f>
        <v>30115.119999999999</v>
      </c>
      <c r="E102" s="567">
        <f>('REVRUNS 12ME0623'!F442+'REVRUNS 12ME0623'!F449)/0.5</f>
        <v>31808.1</v>
      </c>
      <c r="F102" s="567">
        <f>('REVRUNS 12ME0623'!G442+'REVRUNS 12ME0623'!G449)/0.5</f>
        <v>28956.76</v>
      </c>
      <c r="G102" s="567">
        <f>('REVRUNS 12ME0623'!H442+'REVRUNS 12ME0623'!H449)/0.5</f>
        <v>25112.600000000002</v>
      </c>
      <c r="H102" s="567">
        <f>('REVRUNS 12ME0623'!I442+'REVRUNS 12ME0623'!I449)/0.5</f>
        <v>22333.02</v>
      </c>
      <c r="I102" s="567">
        <f>('REVRUNS 12ME0623'!J442+'REVRUNS 12ME0623'!J449)/0.5</f>
        <v>20990.560000000001</v>
      </c>
      <c r="J102" s="567">
        <f>('REVRUNS 12ME0623'!K442+'REVRUNS 12ME0623'!K449)/0.5</f>
        <v>14838.72</v>
      </c>
      <c r="K102" s="567">
        <f>('REVRUNS 12ME0623'!L442+'REVRUNS 12ME0623'!L449)/0.5</f>
        <v>26623.8</v>
      </c>
      <c r="L102" s="567">
        <f>('REVRUNS 12ME0623'!M442+'REVRUNS 12ME0623'!M449)/0.5</f>
        <v>21562.98</v>
      </c>
      <c r="M102" s="567">
        <f>('REVRUNS 12ME0623'!N442+'REVRUNS 12ME0623'!N449)/0.5</f>
        <v>28456.22</v>
      </c>
      <c r="N102" s="567">
        <f>('REVRUNS 12ME0623'!O442+'REVRUNS 12ME0623'!O449)/0.5</f>
        <v>28951.599999999999</v>
      </c>
      <c r="O102" s="564">
        <f>SUM(C102:N102)</f>
        <v>310587.31999999995</v>
      </c>
      <c r="P102" s="565"/>
      <c r="R102" s="42">
        <v>0</v>
      </c>
    </row>
    <row r="103" spans="1:19">
      <c r="A103" s="562"/>
      <c r="B103" s="447" t="s">
        <v>464</v>
      </c>
      <c r="C103" s="578">
        <v>0.5</v>
      </c>
      <c r="D103" s="578">
        <v>0.5</v>
      </c>
      <c r="E103" s="578">
        <v>0.5</v>
      </c>
      <c r="F103" s="578">
        <v>0.5</v>
      </c>
      <c r="G103" s="578">
        <v>0.5</v>
      </c>
      <c r="H103" s="578">
        <v>0.5</v>
      </c>
      <c r="I103" s="578">
        <v>0.5</v>
      </c>
      <c r="J103" s="578">
        <v>0.5</v>
      </c>
      <c r="K103" s="578">
        <v>0.5</v>
      </c>
      <c r="L103" s="578">
        <v>0.5</v>
      </c>
      <c r="M103" s="578">
        <v>0.5</v>
      </c>
      <c r="N103" s="578">
        <v>0.5</v>
      </c>
      <c r="O103" s="578">
        <v>0.5</v>
      </c>
      <c r="P103" s="565"/>
    </row>
    <row r="104" spans="1:19">
      <c r="A104" s="562"/>
      <c r="B104" s="447" t="s">
        <v>465</v>
      </c>
      <c r="C104" s="579">
        <f t="shared" ref="C104:H104" si="52">C102*C103</f>
        <v>15418.92</v>
      </c>
      <c r="D104" s="579">
        <f t="shared" si="52"/>
        <v>15057.56</v>
      </c>
      <c r="E104" s="579">
        <f t="shared" si="52"/>
        <v>15904.05</v>
      </c>
      <c r="F104" s="579">
        <f t="shared" si="52"/>
        <v>14478.38</v>
      </c>
      <c r="G104" s="579">
        <f t="shared" si="52"/>
        <v>12556.300000000001</v>
      </c>
      <c r="H104" s="579">
        <f t="shared" si="52"/>
        <v>11166.51</v>
      </c>
      <c r="I104" s="579">
        <f>I102*I103</f>
        <v>10495.28</v>
      </c>
      <c r="J104" s="579">
        <f t="shared" ref="J104:O104" si="53">J102*J103</f>
        <v>7419.36</v>
      </c>
      <c r="K104" s="579">
        <f t="shared" si="53"/>
        <v>13311.9</v>
      </c>
      <c r="L104" s="579">
        <f t="shared" si="53"/>
        <v>10781.49</v>
      </c>
      <c r="M104" s="579">
        <f t="shared" si="53"/>
        <v>14228.11</v>
      </c>
      <c r="N104" s="579">
        <f t="shared" si="53"/>
        <v>14475.8</v>
      </c>
      <c r="O104" s="579">
        <f t="shared" si="53"/>
        <v>155293.65999999997</v>
      </c>
      <c r="P104" s="580">
        <f>O104-'REVRUNS 12ME0623'!P442-'REVRUNS 12ME0623'!P449</f>
        <v>-3.5242919693700969E-12</v>
      </c>
    </row>
    <row r="105" spans="1:19" ht="13.5" thickBot="1">
      <c r="A105" s="569"/>
      <c r="B105" s="440"/>
      <c r="C105" s="440"/>
      <c r="D105" s="440"/>
      <c r="E105" s="440"/>
      <c r="F105" s="440"/>
      <c r="G105" s="440"/>
      <c r="H105" s="440"/>
      <c r="I105" s="440"/>
      <c r="J105" s="440"/>
      <c r="K105" s="440"/>
      <c r="L105" s="440"/>
      <c r="M105" s="440"/>
      <c r="N105" s="440"/>
      <c r="O105" s="440"/>
      <c r="P105" s="582"/>
    </row>
    <row r="106" spans="1:19" s="554" customFormat="1">
      <c r="A106" s="557"/>
      <c r="B106" s="656" t="s">
        <v>760</v>
      </c>
      <c r="C106" s="559"/>
      <c r="D106" s="559"/>
      <c r="E106" s="559"/>
      <c r="F106" s="559"/>
      <c r="G106" s="559"/>
      <c r="H106" s="559"/>
      <c r="I106" s="583"/>
      <c r="J106" s="583"/>
      <c r="K106" s="583"/>
      <c r="L106" s="583"/>
      <c r="M106" s="583"/>
      <c r="N106" s="583"/>
      <c r="O106" s="559"/>
      <c r="P106" s="561"/>
    </row>
    <row r="107" spans="1:19" s="554" customFormat="1">
      <c r="A107" s="575"/>
      <c r="B107" s="247" t="s">
        <v>456</v>
      </c>
      <c r="C107" s="563">
        <f>'REVRUNS 12ME0623'!D167</f>
        <v>23864.6</v>
      </c>
      <c r="D107" s="563">
        <f>'REVRUNS 12ME0623'!E167</f>
        <v>19275.009999999998</v>
      </c>
      <c r="E107" s="563">
        <f>'REVRUNS 12ME0623'!F167</f>
        <v>12887.93</v>
      </c>
      <c r="F107" s="563">
        <f>'REVRUNS 12ME0623'!G167</f>
        <v>17128.64</v>
      </c>
      <c r="G107" s="563">
        <f>'REVRUNS 12ME0623'!H167</f>
        <v>26353.360000000001</v>
      </c>
      <c r="H107" s="563">
        <f>'REVRUNS 12ME0623'!I167</f>
        <v>18179.060000000001</v>
      </c>
      <c r="I107" s="563">
        <f>'REVRUNS 12ME0623'!J167</f>
        <v>53826.03</v>
      </c>
      <c r="J107" s="563">
        <f>'REVRUNS 12ME0623'!K167</f>
        <v>0</v>
      </c>
      <c r="K107" s="563">
        <f>'REVRUNS 12ME0623'!L167</f>
        <v>141125.35999999999</v>
      </c>
      <c r="L107" s="563">
        <f>'REVRUNS 12ME0623'!M167</f>
        <v>21888.12</v>
      </c>
      <c r="M107" s="563">
        <f>'REVRUNS 12ME0623'!N167</f>
        <v>78707.48</v>
      </c>
      <c r="N107" s="563">
        <f>'REVRUNS 12ME0623'!O167</f>
        <v>38407.839999999997</v>
      </c>
      <c r="O107" s="564">
        <f>SUM(C107:N107)</f>
        <v>451643.42999999993</v>
      </c>
      <c r="P107" s="565"/>
      <c r="R107" s="422">
        <v>0</v>
      </c>
      <c r="S107" s="373" t="e">
        <f>R107/$R$83</f>
        <v>#DIV/0!</v>
      </c>
    </row>
    <row r="108" spans="1:19" s="554" customFormat="1">
      <c r="A108" s="575"/>
      <c r="B108" s="247" t="s">
        <v>457</v>
      </c>
      <c r="C108" s="563">
        <f>'REVRUNS 12ME0623'!D168</f>
        <v>0</v>
      </c>
      <c r="D108" s="563">
        <f>'REVRUNS 12ME0623'!E168</f>
        <v>0</v>
      </c>
      <c r="E108" s="563">
        <f>'REVRUNS 12ME0623'!F168</f>
        <v>0</v>
      </c>
      <c r="F108" s="563">
        <f>'REVRUNS 12ME0623'!G168</f>
        <v>0</v>
      </c>
      <c r="G108" s="563">
        <f>'REVRUNS 12ME0623'!H168</f>
        <v>0</v>
      </c>
      <c r="H108" s="563">
        <f>'REVRUNS 12ME0623'!I168</f>
        <v>0</v>
      </c>
      <c r="I108" s="563">
        <f>'REVRUNS 12ME0623'!J168</f>
        <v>0</v>
      </c>
      <c r="J108" s="563">
        <f>'REVRUNS 12ME0623'!K168</f>
        <v>0</v>
      </c>
      <c r="K108" s="563">
        <f>'REVRUNS 12ME0623'!L168</f>
        <v>0</v>
      </c>
      <c r="L108" s="563">
        <f>'REVRUNS 12ME0623'!M168</f>
        <v>0</v>
      </c>
      <c r="M108" s="563">
        <f>'REVRUNS 12ME0623'!N168</f>
        <v>0</v>
      </c>
      <c r="N108" s="563">
        <f>'REVRUNS 12ME0623'!O168</f>
        <v>0</v>
      </c>
      <c r="O108" s="564">
        <f>SUM(C108:N108)</f>
        <v>0</v>
      </c>
      <c r="P108" s="565"/>
      <c r="R108" s="372">
        <v>0</v>
      </c>
      <c r="S108" s="374" t="e">
        <f>R108/$R$83</f>
        <v>#DIV/0!</v>
      </c>
    </row>
    <row r="109" spans="1:19" s="630" customFormat="1">
      <c r="A109" s="654"/>
      <c r="B109" s="655" t="s">
        <v>571</v>
      </c>
      <c r="C109" s="563">
        <f>'REVRUNS 12ME0623'!D169</f>
        <v>0</v>
      </c>
      <c r="D109" s="563">
        <f>'REVRUNS 12ME0623'!E169</f>
        <v>-2</v>
      </c>
      <c r="E109" s="563">
        <f>'REVRUNS 12ME0623'!F169</f>
        <v>0</v>
      </c>
      <c r="F109" s="563">
        <f>'REVRUNS 12ME0623'!G169</f>
        <v>0</v>
      </c>
      <c r="G109" s="563">
        <f>'REVRUNS 12ME0623'!H169</f>
        <v>0</v>
      </c>
      <c r="H109" s="563">
        <f>'REVRUNS 12ME0623'!I169</f>
        <v>0</v>
      </c>
      <c r="I109" s="563">
        <f>'REVRUNS 12ME0623'!J169</f>
        <v>0</v>
      </c>
      <c r="J109" s="563">
        <f>'REVRUNS 12ME0623'!K169</f>
        <v>0</v>
      </c>
      <c r="K109" s="563">
        <f>'REVRUNS 12ME0623'!L169</f>
        <v>0</v>
      </c>
      <c r="L109" s="563">
        <f>'REVRUNS 12ME0623'!M169</f>
        <v>0</v>
      </c>
      <c r="M109" s="563">
        <f>'REVRUNS 12ME0623'!N169</f>
        <v>0</v>
      </c>
      <c r="N109" s="563">
        <f>'REVRUNS 12ME0623'!O169</f>
        <v>0</v>
      </c>
      <c r="O109" s="564">
        <f>SUM(C109:N109)</f>
        <v>-2</v>
      </c>
      <c r="P109" s="565"/>
      <c r="R109" s="45"/>
      <c r="S109" s="653"/>
    </row>
    <row r="110" spans="1:19" s="554" customFormat="1">
      <c r="A110" s="575" t="s">
        <v>458</v>
      </c>
      <c r="B110" s="657" t="s">
        <v>64</v>
      </c>
      <c r="C110" s="368">
        <f>SUM(C107:C109)</f>
        <v>23864.6</v>
      </c>
      <c r="D110" s="368">
        <f t="shared" ref="D110:N110" si="54">SUM(D107:D109)</f>
        <v>19273.009999999998</v>
      </c>
      <c r="E110" s="368">
        <f t="shared" si="54"/>
        <v>12887.93</v>
      </c>
      <c r="F110" s="368">
        <f t="shared" si="54"/>
        <v>17128.64</v>
      </c>
      <c r="G110" s="368">
        <f t="shared" si="54"/>
        <v>26353.360000000001</v>
      </c>
      <c r="H110" s="368">
        <f t="shared" si="54"/>
        <v>18179.060000000001</v>
      </c>
      <c r="I110" s="368">
        <f t="shared" si="54"/>
        <v>53826.03</v>
      </c>
      <c r="J110" s="368">
        <f t="shared" si="54"/>
        <v>0</v>
      </c>
      <c r="K110" s="368">
        <f t="shared" si="54"/>
        <v>141125.35999999999</v>
      </c>
      <c r="L110" s="368">
        <f t="shared" si="54"/>
        <v>21888.12</v>
      </c>
      <c r="M110" s="368">
        <f t="shared" si="54"/>
        <v>78707.48</v>
      </c>
      <c r="N110" s="368">
        <f t="shared" si="54"/>
        <v>38407.839999999997</v>
      </c>
      <c r="O110" s="368">
        <f t="shared" ref="O110" si="55">SUM(O107:O108)</f>
        <v>451643.42999999993</v>
      </c>
      <c r="P110" s="565"/>
      <c r="R110" s="422">
        <f>SUM(R107:R108)</f>
        <v>0</v>
      </c>
      <c r="S110" s="81" t="e">
        <f>SUM(S107:S108)</f>
        <v>#DIV/0!</v>
      </c>
    </row>
    <row r="111" spans="1:19" s="554" customFormat="1">
      <c r="A111" s="575"/>
      <c r="B111" s="247" t="s">
        <v>72</v>
      </c>
      <c r="C111" s="427">
        <f>'REVRUNS 12ME0623'!D338</f>
        <v>23864.6</v>
      </c>
      <c r="D111" s="427">
        <f>'REVRUNS 12ME0623'!E338</f>
        <v>19273.009999999998</v>
      </c>
      <c r="E111" s="427">
        <f>'REVRUNS 12ME0623'!F338</f>
        <v>12887.93</v>
      </c>
      <c r="F111" s="427">
        <f>'REVRUNS 12ME0623'!G338</f>
        <v>17128.64</v>
      </c>
      <c r="G111" s="427">
        <f>'REVRUNS 12ME0623'!H338</f>
        <v>26353.360000000001</v>
      </c>
      <c r="H111" s="427">
        <f>'REVRUNS 12ME0623'!I338</f>
        <v>18179.060000000001</v>
      </c>
      <c r="I111" s="427">
        <f>'REVRUNS 12ME0623'!J338</f>
        <v>53826.03</v>
      </c>
      <c r="J111" s="427">
        <f>'REVRUNS 12ME0623'!K338</f>
        <v>0</v>
      </c>
      <c r="K111" s="427">
        <f>'REVRUNS 12ME0623'!L338</f>
        <v>141125.35999999999</v>
      </c>
      <c r="L111" s="427">
        <f>'REVRUNS 12ME0623'!M338</f>
        <v>21888.12</v>
      </c>
      <c r="M111" s="427">
        <f>'REVRUNS 12ME0623'!N338</f>
        <v>78707.48</v>
      </c>
      <c r="N111" s="427">
        <f>'REVRUNS 12ME0623'!O338</f>
        <v>38407.839999999997</v>
      </c>
      <c r="O111" s="564">
        <f>SUM(C111:N111)</f>
        <v>451641.42999999993</v>
      </c>
      <c r="P111" s="565"/>
    </row>
    <row r="112" spans="1:19" s="554" customFormat="1">
      <c r="A112" s="575"/>
      <c r="B112" s="247"/>
      <c r="C112" s="45">
        <f t="shared" ref="C112:N112" si="56">C111-C110</f>
        <v>0</v>
      </c>
      <c r="D112" s="45">
        <f t="shared" si="56"/>
        <v>0</v>
      </c>
      <c r="E112" s="45">
        <f t="shared" si="56"/>
        <v>0</v>
      </c>
      <c r="F112" s="45">
        <f t="shared" si="56"/>
        <v>0</v>
      </c>
      <c r="G112" s="45">
        <f t="shared" si="56"/>
        <v>0</v>
      </c>
      <c r="H112" s="45">
        <f t="shared" si="56"/>
        <v>0</v>
      </c>
      <c r="I112" s="45">
        <f t="shared" si="56"/>
        <v>0</v>
      </c>
      <c r="J112" s="271">
        <f t="shared" si="56"/>
        <v>0</v>
      </c>
      <c r="K112" s="271">
        <f t="shared" si="56"/>
        <v>0</v>
      </c>
      <c r="L112" s="45">
        <f t="shared" si="56"/>
        <v>0</v>
      </c>
      <c r="M112" s="271">
        <f t="shared" si="56"/>
        <v>0</v>
      </c>
      <c r="N112" s="45">
        <f t="shared" si="56"/>
        <v>0</v>
      </c>
      <c r="O112" s="564">
        <f>SUM(C112:N112)</f>
        <v>0</v>
      </c>
      <c r="P112" s="568">
        <f>O112/O111</f>
        <v>0</v>
      </c>
    </row>
    <row r="113" spans="1:18" s="554" customFormat="1">
      <c r="A113" s="575"/>
      <c r="B113" s="247"/>
      <c r="C113" s="45"/>
      <c r="D113" s="45"/>
      <c r="E113" s="45"/>
      <c r="F113" s="45"/>
      <c r="G113" s="45"/>
      <c r="H113" s="45"/>
      <c r="I113" s="45"/>
      <c r="J113" s="271"/>
      <c r="K113" s="271"/>
      <c r="L113" s="45"/>
      <c r="M113" s="271"/>
      <c r="N113" s="45"/>
      <c r="O113" s="564"/>
      <c r="P113" s="568"/>
    </row>
    <row r="114" spans="1:18" s="554" customFormat="1">
      <c r="A114" s="643"/>
      <c r="B114" s="644" t="s">
        <v>456</v>
      </c>
      <c r="C114" s="662">
        <f>IF(C110=0,0,(C107/C$110)*C$113)</f>
        <v>0</v>
      </c>
      <c r="D114" s="662">
        <f t="shared" ref="D114:N114" si="57">IF(D110=0,0,(D107/D$110)*D$113)</f>
        <v>0</v>
      </c>
      <c r="E114" s="662">
        <f t="shared" si="57"/>
        <v>0</v>
      </c>
      <c r="F114" s="662">
        <f t="shared" si="57"/>
        <v>0</v>
      </c>
      <c r="G114" s="662">
        <f t="shared" si="57"/>
        <v>0</v>
      </c>
      <c r="H114" s="662">
        <f t="shared" si="57"/>
        <v>0</v>
      </c>
      <c r="I114" s="662">
        <f t="shared" si="57"/>
        <v>0</v>
      </c>
      <c r="J114" s="662">
        <f t="shared" si="57"/>
        <v>0</v>
      </c>
      <c r="K114" s="662">
        <f t="shared" si="57"/>
        <v>0</v>
      </c>
      <c r="L114" s="662">
        <f t="shared" si="57"/>
        <v>0</v>
      </c>
      <c r="M114" s="662">
        <f t="shared" si="57"/>
        <v>0</v>
      </c>
      <c r="N114" s="662">
        <f t="shared" si="57"/>
        <v>0</v>
      </c>
      <c r="O114" s="662">
        <f>SUM(C114:N114)</f>
        <v>0</v>
      </c>
      <c r="P114" s="568"/>
    </row>
    <row r="115" spans="1:18" s="554" customFormat="1">
      <c r="A115" s="643"/>
      <c r="B115" s="644" t="s">
        <v>457</v>
      </c>
      <c r="C115" s="663">
        <f>IF(C110=0,0,(C108/C$110)*C$113)</f>
        <v>0</v>
      </c>
      <c r="D115" s="663">
        <f t="shared" ref="D115:N115" si="58">IF(D110=0,0,(D108/D$110)*D$113)</f>
        <v>0</v>
      </c>
      <c r="E115" s="663">
        <f t="shared" si="58"/>
        <v>0</v>
      </c>
      <c r="F115" s="663">
        <f t="shared" si="58"/>
        <v>0</v>
      </c>
      <c r="G115" s="663">
        <f t="shared" si="58"/>
        <v>0</v>
      </c>
      <c r="H115" s="663">
        <f t="shared" si="58"/>
        <v>0</v>
      </c>
      <c r="I115" s="663">
        <f t="shared" si="58"/>
        <v>0</v>
      </c>
      <c r="J115" s="663">
        <f t="shared" si="58"/>
        <v>0</v>
      </c>
      <c r="K115" s="663">
        <f t="shared" si="58"/>
        <v>0</v>
      </c>
      <c r="L115" s="663">
        <f t="shared" si="58"/>
        <v>0</v>
      </c>
      <c r="M115" s="663">
        <f t="shared" si="58"/>
        <v>0</v>
      </c>
      <c r="N115" s="663">
        <f t="shared" si="58"/>
        <v>0</v>
      </c>
      <c r="O115" s="663">
        <f>SUM(C115:N115)</f>
        <v>0</v>
      </c>
      <c r="P115" s="568"/>
    </row>
    <row r="116" spans="1:18" s="554" customFormat="1">
      <c r="A116" s="643"/>
      <c r="B116" s="644"/>
      <c r="C116" s="662">
        <f t="shared" ref="C116:O116" si="59">SUM(C114:C115)</f>
        <v>0</v>
      </c>
      <c r="D116" s="662">
        <f t="shared" si="59"/>
        <v>0</v>
      </c>
      <c r="E116" s="662">
        <f t="shared" si="59"/>
        <v>0</v>
      </c>
      <c r="F116" s="662">
        <f t="shared" si="59"/>
        <v>0</v>
      </c>
      <c r="G116" s="662">
        <f t="shared" si="59"/>
        <v>0</v>
      </c>
      <c r="H116" s="662">
        <f t="shared" si="59"/>
        <v>0</v>
      </c>
      <c r="I116" s="662">
        <f t="shared" si="59"/>
        <v>0</v>
      </c>
      <c r="J116" s="662">
        <f t="shared" si="59"/>
        <v>0</v>
      </c>
      <c r="K116" s="662">
        <f t="shared" si="59"/>
        <v>0</v>
      </c>
      <c r="L116" s="662">
        <f t="shared" si="59"/>
        <v>0</v>
      </c>
      <c r="M116" s="662">
        <f t="shared" si="59"/>
        <v>0</v>
      </c>
      <c r="N116" s="662">
        <f t="shared" si="59"/>
        <v>0</v>
      </c>
      <c r="O116" s="662">
        <f t="shared" si="59"/>
        <v>0</v>
      </c>
      <c r="P116" s="568"/>
    </row>
    <row r="117" spans="1:18" s="554" customFormat="1">
      <c r="A117" s="643"/>
      <c r="B117" s="644"/>
      <c r="C117" s="662"/>
      <c r="D117" s="662"/>
      <c r="E117" s="662"/>
      <c r="F117" s="662"/>
      <c r="G117" s="662"/>
      <c r="H117" s="662"/>
      <c r="I117" s="662"/>
      <c r="J117" s="662"/>
      <c r="K117" s="662"/>
      <c r="L117" s="662"/>
      <c r="M117" s="662"/>
      <c r="N117" s="662"/>
      <c r="O117" s="662"/>
      <c r="P117" s="568"/>
    </row>
    <row r="118" spans="1:18" s="554" customFormat="1">
      <c r="A118" s="643"/>
      <c r="B118" s="644" t="s">
        <v>456</v>
      </c>
      <c r="C118" s="662">
        <f>C107+C114</f>
        <v>23864.6</v>
      </c>
      <c r="D118" s="662">
        <f t="shared" ref="D118:N118" si="60">D107+D114</f>
        <v>19275.009999999998</v>
      </c>
      <c r="E118" s="662">
        <f t="shared" si="60"/>
        <v>12887.93</v>
      </c>
      <c r="F118" s="662">
        <f t="shared" si="60"/>
        <v>17128.64</v>
      </c>
      <c r="G118" s="662">
        <f t="shared" si="60"/>
        <v>26353.360000000001</v>
      </c>
      <c r="H118" s="662">
        <f t="shared" si="60"/>
        <v>18179.060000000001</v>
      </c>
      <c r="I118" s="662">
        <f t="shared" si="60"/>
        <v>53826.03</v>
      </c>
      <c r="J118" s="662">
        <f t="shared" si="60"/>
        <v>0</v>
      </c>
      <c r="K118" s="662">
        <f t="shared" si="60"/>
        <v>141125.35999999999</v>
      </c>
      <c r="L118" s="662">
        <f t="shared" si="60"/>
        <v>21888.12</v>
      </c>
      <c r="M118" s="662">
        <f t="shared" si="60"/>
        <v>78707.48</v>
      </c>
      <c r="N118" s="662">
        <f t="shared" si="60"/>
        <v>38407.839999999997</v>
      </c>
      <c r="O118" s="662">
        <f>SUM(C118:N118)</f>
        <v>451643.42999999993</v>
      </c>
      <c r="P118" s="568"/>
    </row>
    <row r="119" spans="1:18" s="554" customFormat="1">
      <c r="A119" s="643"/>
      <c r="B119" s="644" t="s">
        <v>457</v>
      </c>
      <c r="C119" s="663">
        <f>C108+C115</f>
        <v>0</v>
      </c>
      <c r="D119" s="663">
        <f t="shared" ref="D119:N119" si="61">D108+D115</f>
        <v>0</v>
      </c>
      <c r="E119" s="663">
        <f t="shared" si="61"/>
        <v>0</v>
      </c>
      <c r="F119" s="663">
        <f t="shared" si="61"/>
        <v>0</v>
      </c>
      <c r="G119" s="663">
        <f t="shared" si="61"/>
        <v>0</v>
      </c>
      <c r="H119" s="663">
        <f t="shared" si="61"/>
        <v>0</v>
      </c>
      <c r="I119" s="663">
        <f t="shared" si="61"/>
        <v>0</v>
      </c>
      <c r="J119" s="663">
        <f t="shared" si="61"/>
        <v>0</v>
      </c>
      <c r="K119" s="663">
        <f t="shared" si="61"/>
        <v>0</v>
      </c>
      <c r="L119" s="663">
        <f t="shared" si="61"/>
        <v>0</v>
      </c>
      <c r="M119" s="663">
        <f t="shared" si="61"/>
        <v>0</v>
      </c>
      <c r="N119" s="663">
        <f t="shared" si="61"/>
        <v>0</v>
      </c>
      <c r="O119" s="663">
        <f>SUM(C119:N119)</f>
        <v>0</v>
      </c>
      <c r="P119" s="568"/>
    </row>
    <row r="120" spans="1:18" s="554" customFormat="1">
      <c r="A120" s="643"/>
      <c r="B120" s="644"/>
      <c r="C120" s="662">
        <f t="shared" ref="C120:O120" si="62">SUM(C118:C119)</f>
        <v>23864.6</v>
      </c>
      <c r="D120" s="662">
        <f t="shared" si="62"/>
        <v>19275.009999999998</v>
      </c>
      <c r="E120" s="662">
        <f t="shared" si="62"/>
        <v>12887.93</v>
      </c>
      <c r="F120" s="662">
        <f t="shared" si="62"/>
        <v>17128.64</v>
      </c>
      <c r="G120" s="662">
        <f t="shared" si="62"/>
        <v>26353.360000000001</v>
      </c>
      <c r="H120" s="662">
        <f t="shared" si="62"/>
        <v>18179.060000000001</v>
      </c>
      <c r="I120" s="662">
        <f t="shared" si="62"/>
        <v>53826.03</v>
      </c>
      <c r="J120" s="662">
        <f t="shared" si="62"/>
        <v>0</v>
      </c>
      <c r="K120" s="662">
        <f t="shared" si="62"/>
        <v>141125.35999999999</v>
      </c>
      <c r="L120" s="662">
        <f t="shared" si="62"/>
        <v>21888.12</v>
      </c>
      <c r="M120" s="662">
        <f t="shared" si="62"/>
        <v>78707.48</v>
      </c>
      <c r="N120" s="662">
        <f t="shared" si="62"/>
        <v>38407.839999999997</v>
      </c>
      <c r="O120" s="662">
        <f t="shared" si="62"/>
        <v>451643.42999999993</v>
      </c>
      <c r="P120" s="568"/>
    </row>
    <row r="121" spans="1:18" s="554" customFormat="1">
      <c r="A121" s="643"/>
      <c r="B121" s="644"/>
      <c r="C121" s="661">
        <f t="shared" ref="C121:O121" si="63">C120-C111</f>
        <v>0</v>
      </c>
      <c r="D121" s="661">
        <f t="shared" si="63"/>
        <v>2</v>
      </c>
      <c r="E121" s="661">
        <f t="shared" si="63"/>
        <v>0</v>
      </c>
      <c r="F121" s="661">
        <f t="shared" si="63"/>
        <v>0</v>
      </c>
      <c r="G121" s="661">
        <f t="shared" si="63"/>
        <v>0</v>
      </c>
      <c r="H121" s="661">
        <f t="shared" si="63"/>
        <v>0</v>
      </c>
      <c r="I121" s="661">
        <f t="shared" si="63"/>
        <v>0</v>
      </c>
      <c r="J121" s="661">
        <f t="shared" si="63"/>
        <v>0</v>
      </c>
      <c r="K121" s="661">
        <f t="shared" si="63"/>
        <v>0</v>
      </c>
      <c r="L121" s="661">
        <f t="shared" si="63"/>
        <v>0</v>
      </c>
      <c r="M121" s="661">
        <f t="shared" si="63"/>
        <v>0</v>
      </c>
      <c r="N121" s="661">
        <f t="shared" si="63"/>
        <v>0</v>
      </c>
      <c r="O121" s="661">
        <f t="shared" si="63"/>
        <v>2</v>
      </c>
      <c r="P121" s="568"/>
    </row>
    <row r="122" spans="1:18" s="554" customFormat="1">
      <c r="A122" s="643"/>
      <c r="B122" s="644"/>
      <c r="C122" s="660"/>
      <c r="D122" s="660"/>
      <c r="E122" s="660"/>
      <c r="F122" s="660"/>
      <c r="G122" s="660"/>
      <c r="H122" s="660"/>
      <c r="I122" s="660"/>
      <c r="J122" s="660"/>
      <c r="K122" s="660"/>
      <c r="L122" s="660"/>
      <c r="M122" s="660"/>
      <c r="N122" s="660"/>
      <c r="O122" s="661"/>
      <c r="P122" s="568"/>
    </row>
    <row r="123" spans="1:18" s="554" customFormat="1">
      <c r="A123" s="643"/>
      <c r="B123" s="645" t="s">
        <v>760</v>
      </c>
      <c r="C123" s="644"/>
      <c r="D123" s="644"/>
      <c r="E123" s="644"/>
      <c r="F123" s="644"/>
      <c r="G123" s="644"/>
      <c r="H123" s="644"/>
      <c r="I123" s="644"/>
      <c r="J123" s="644"/>
      <c r="K123" s="644"/>
      <c r="L123" s="644"/>
      <c r="M123" s="644"/>
      <c r="N123" s="644"/>
      <c r="O123" s="644"/>
      <c r="P123" s="565"/>
    </row>
    <row r="124" spans="1:18" s="554" customFormat="1">
      <c r="A124" s="643"/>
      <c r="B124" s="644" t="s">
        <v>456</v>
      </c>
      <c r="C124" s="661"/>
      <c r="D124" s="661"/>
      <c r="E124" s="661"/>
      <c r="F124" s="661"/>
      <c r="G124" s="661"/>
      <c r="H124" s="661"/>
      <c r="I124" s="661"/>
      <c r="J124" s="661"/>
      <c r="K124" s="661"/>
      <c r="L124" s="661"/>
      <c r="M124" s="661"/>
      <c r="N124" s="661"/>
      <c r="O124" s="661">
        <f>SUM(C124:N124)</f>
        <v>0</v>
      </c>
      <c r="P124" s="565"/>
      <c r="R124" s="422">
        <v>0</v>
      </c>
    </row>
    <row r="125" spans="1:18" s="554" customFormat="1">
      <c r="A125" s="643"/>
      <c r="B125" s="644" t="s">
        <v>457</v>
      </c>
      <c r="C125" s="661" t="e">
        <f>'REVRUNS 12ME0623'!D455/'REVRUNS 12ME0623'!D458</f>
        <v>#DIV/0!</v>
      </c>
      <c r="D125" s="661" t="e">
        <f>'REVRUNS 12ME0623'!E455/'REVRUNS 12ME0623'!E458</f>
        <v>#DIV/0!</v>
      </c>
      <c r="E125" s="661" t="e">
        <f>'REVRUNS 12ME0623'!F455/'REVRUNS 12ME0623'!F458</f>
        <v>#DIV/0!</v>
      </c>
      <c r="F125" s="661" t="e">
        <f>'REVRUNS 12ME0623'!G455/'REVRUNS 12ME0623'!G458</f>
        <v>#DIV/0!</v>
      </c>
      <c r="G125" s="661" t="e">
        <f>'REVRUNS 12ME0623'!H455/'REVRUNS 12ME0623'!H458</f>
        <v>#DIV/0!</v>
      </c>
      <c r="H125" s="661" t="e">
        <f>'REVRUNS 12ME0623'!I455/'REVRUNS 12ME0623'!I458</f>
        <v>#DIV/0!</v>
      </c>
      <c r="I125" s="661" t="e">
        <f>'REVRUNS 12ME0623'!J455/'REVRUNS 12ME0623'!J458</f>
        <v>#DIV/0!</v>
      </c>
      <c r="J125" s="661" t="e">
        <f>'REVRUNS 12ME0623'!K455/'REVRUNS 12ME0623'!K458</f>
        <v>#DIV/0!</v>
      </c>
      <c r="K125" s="661" t="e">
        <f>'REVRUNS 12ME0623'!L455/'REVRUNS 12ME0623'!L458</f>
        <v>#DIV/0!</v>
      </c>
      <c r="L125" s="661" t="e">
        <f>'REVRUNS 12ME0623'!M455/'REVRUNS 12ME0623'!M458</f>
        <v>#DIV/0!</v>
      </c>
      <c r="M125" s="661" t="e">
        <f>'REVRUNS 12ME0623'!N455/'REVRUNS 12ME0623'!N458</f>
        <v>#DIV/0!</v>
      </c>
      <c r="N125" s="661" t="e">
        <f>'REVRUNS 12ME0623'!O455/'REVRUNS 12ME0623'!O458</f>
        <v>#DIV/0!</v>
      </c>
      <c r="O125" s="661" t="e">
        <f>SUM(C125:N125)</f>
        <v>#DIV/0!</v>
      </c>
      <c r="P125" s="577" t="e">
        <f>'REVRUNS 12ME0623'!P455/6.5-O125</f>
        <v>#DIV/0!</v>
      </c>
      <c r="R125" s="372">
        <v>0</v>
      </c>
    </row>
    <row r="126" spans="1:18" s="554" customFormat="1">
      <c r="A126" s="643" t="s">
        <v>462</v>
      </c>
      <c r="B126" s="645" t="s">
        <v>64</v>
      </c>
      <c r="C126" s="665" t="e">
        <f t="shared" ref="C126:O126" si="64">SUM(C124:C125)</f>
        <v>#DIV/0!</v>
      </c>
      <c r="D126" s="665" t="e">
        <f t="shared" si="64"/>
        <v>#DIV/0!</v>
      </c>
      <c r="E126" s="665" t="e">
        <f t="shared" si="64"/>
        <v>#DIV/0!</v>
      </c>
      <c r="F126" s="665" t="e">
        <f t="shared" si="64"/>
        <v>#DIV/0!</v>
      </c>
      <c r="G126" s="665" t="e">
        <f t="shared" si="64"/>
        <v>#DIV/0!</v>
      </c>
      <c r="H126" s="665" t="e">
        <f t="shared" si="64"/>
        <v>#DIV/0!</v>
      </c>
      <c r="I126" s="665" t="e">
        <f t="shared" si="64"/>
        <v>#DIV/0!</v>
      </c>
      <c r="J126" s="665" t="e">
        <f t="shared" si="64"/>
        <v>#DIV/0!</v>
      </c>
      <c r="K126" s="665" t="e">
        <f t="shared" si="64"/>
        <v>#DIV/0!</v>
      </c>
      <c r="L126" s="665" t="e">
        <f t="shared" si="64"/>
        <v>#DIV/0!</v>
      </c>
      <c r="M126" s="665" t="e">
        <f t="shared" si="64"/>
        <v>#DIV/0!</v>
      </c>
      <c r="N126" s="665" t="e">
        <f t="shared" si="64"/>
        <v>#DIV/0!</v>
      </c>
      <c r="O126" s="665" t="e">
        <f t="shared" si="64"/>
        <v>#DIV/0!</v>
      </c>
      <c r="P126" s="565"/>
      <c r="R126" s="422">
        <f>SUM(R124:R125)</f>
        <v>0</v>
      </c>
    </row>
    <row r="127" spans="1:18" s="554" customFormat="1">
      <c r="A127" s="643"/>
      <c r="B127" s="644"/>
      <c r="C127" s="644"/>
      <c r="D127" s="644"/>
      <c r="E127" s="644"/>
      <c r="F127" s="644"/>
      <c r="G127" s="644"/>
      <c r="H127" s="644"/>
      <c r="I127" s="644"/>
      <c r="J127" s="644"/>
      <c r="K127" s="644"/>
      <c r="L127" s="644"/>
      <c r="M127" s="644"/>
      <c r="N127" s="644"/>
      <c r="O127" s="644"/>
      <c r="P127" s="565"/>
    </row>
    <row r="128" spans="1:18" s="554" customFormat="1">
      <c r="A128" s="643"/>
      <c r="B128" s="645" t="s">
        <v>760</v>
      </c>
      <c r="C128" s="644"/>
      <c r="D128" s="644"/>
      <c r="E128" s="644"/>
      <c r="F128" s="644"/>
      <c r="G128" s="644"/>
      <c r="H128" s="644"/>
      <c r="I128" s="644"/>
      <c r="J128" s="644"/>
      <c r="K128" s="644"/>
      <c r="L128" s="644"/>
      <c r="M128" s="644"/>
      <c r="N128" s="644"/>
      <c r="O128" s="644"/>
      <c r="P128" s="565"/>
    </row>
    <row r="129" spans="1:19" s="554" customFormat="1">
      <c r="A129" s="643"/>
      <c r="B129" s="644" t="s">
        <v>463</v>
      </c>
      <c r="C129" s="661">
        <f>'REVRUNS 12ME0623'!D456/'REVRUNS 12ME0623'!D459</f>
        <v>0</v>
      </c>
      <c r="D129" s="661">
        <f>'REVRUNS 12ME0623'!E456/'REVRUNS 12ME0623'!E459</f>
        <v>0</v>
      </c>
      <c r="E129" s="661">
        <f>'REVRUNS 12ME0623'!F456/'REVRUNS 12ME0623'!F459</f>
        <v>0</v>
      </c>
      <c r="F129" s="661">
        <f>'REVRUNS 12ME0623'!G456/'REVRUNS 12ME0623'!G459</f>
        <v>0</v>
      </c>
      <c r="G129" s="661">
        <f>'REVRUNS 12ME0623'!H456/'REVRUNS 12ME0623'!H459</f>
        <v>0</v>
      </c>
      <c r="H129" s="661">
        <f>'REVRUNS 12ME0623'!I456/'REVRUNS 12ME0623'!I459</f>
        <v>0</v>
      </c>
      <c r="I129" s="661">
        <f>'REVRUNS 12ME0623'!J456/'REVRUNS 12ME0623'!J459</f>
        <v>0</v>
      </c>
      <c r="J129" s="661">
        <f>'REVRUNS 12ME0623'!K456/'REVRUNS 12ME0623'!K459</f>
        <v>0</v>
      </c>
      <c r="K129" s="661">
        <f>'REVRUNS 12ME0623'!L456/'REVRUNS 12ME0623'!L459</f>
        <v>0</v>
      </c>
      <c r="L129" s="661">
        <f>'REVRUNS 12ME0623'!M456/'REVRUNS 12ME0623'!M459</f>
        <v>0</v>
      </c>
      <c r="M129" s="661">
        <f>'REVRUNS 12ME0623'!N456/'REVRUNS 12ME0623'!N459</f>
        <v>0</v>
      </c>
      <c r="N129" s="661">
        <f>'REVRUNS 12ME0623'!O456/'REVRUNS 12ME0623'!O459</f>
        <v>0</v>
      </c>
      <c r="O129" s="661">
        <f>SUM(C129:N129)</f>
        <v>0</v>
      </c>
      <c r="P129" s="565"/>
      <c r="R129" s="422">
        <v>0</v>
      </c>
    </row>
    <row r="130" spans="1:19" s="554" customFormat="1">
      <c r="A130" s="643"/>
      <c r="B130" s="644" t="s">
        <v>464</v>
      </c>
      <c r="C130" s="666">
        <v>0.5</v>
      </c>
      <c r="D130" s="666">
        <v>0.5</v>
      </c>
      <c r="E130" s="666">
        <v>0.5</v>
      </c>
      <c r="F130" s="666">
        <v>0.5</v>
      </c>
      <c r="G130" s="666">
        <v>0.5</v>
      </c>
      <c r="H130" s="666">
        <v>0.5</v>
      </c>
      <c r="I130" s="666">
        <v>0.5</v>
      </c>
      <c r="J130" s="666">
        <v>0.5</v>
      </c>
      <c r="K130" s="666">
        <v>0.5</v>
      </c>
      <c r="L130" s="666">
        <v>0.5</v>
      </c>
      <c r="M130" s="666">
        <v>0.5</v>
      </c>
      <c r="N130" s="666">
        <v>0.5</v>
      </c>
      <c r="O130" s="666">
        <v>0.5</v>
      </c>
      <c r="P130" s="565"/>
    </row>
    <row r="131" spans="1:19" s="554" customFormat="1">
      <c r="A131" s="643"/>
      <c r="B131" s="644" t="s">
        <v>465</v>
      </c>
      <c r="C131" s="666">
        <f t="shared" ref="C131:H131" si="65">C129*C130</f>
        <v>0</v>
      </c>
      <c r="D131" s="666">
        <f t="shared" si="65"/>
        <v>0</v>
      </c>
      <c r="E131" s="666">
        <f t="shared" si="65"/>
        <v>0</v>
      </c>
      <c r="F131" s="666">
        <f t="shared" si="65"/>
        <v>0</v>
      </c>
      <c r="G131" s="666">
        <f t="shared" si="65"/>
        <v>0</v>
      </c>
      <c r="H131" s="666">
        <f t="shared" si="65"/>
        <v>0</v>
      </c>
      <c r="I131" s="666">
        <f>I129*I130</f>
        <v>0</v>
      </c>
      <c r="J131" s="666">
        <f t="shared" ref="J131:O131" si="66">J129*J130</f>
        <v>0</v>
      </c>
      <c r="K131" s="666">
        <f t="shared" si="66"/>
        <v>0</v>
      </c>
      <c r="L131" s="666">
        <f t="shared" si="66"/>
        <v>0</v>
      </c>
      <c r="M131" s="666">
        <f t="shared" si="66"/>
        <v>0</v>
      </c>
      <c r="N131" s="666">
        <f t="shared" si="66"/>
        <v>0</v>
      </c>
      <c r="O131" s="666">
        <f t="shared" si="66"/>
        <v>0</v>
      </c>
      <c r="P131" s="580">
        <f>O131-'REVRUNS 12ME0623'!P456</f>
        <v>0</v>
      </c>
    </row>
    <row r="132" spans="1:19" s="554" customFormat="1" ht="13.5" thickBot="1">
      <c r="A132" s="569"/>
      <c r="B132" s="440"/>
      <c r="C132" s="440"/>
      <c r="D132" s="440"/>
      <c r="E132" s="440"/>
      <c r="F132" s="440"/>
      <c r="G132" s="440"/>
      <c r="H132" s="440"/>
      <c r="I132" s="440"/>
      <c r="J132" s="440"/>
      <c r="K132" s="440"/>
      <c r="L132" s="440"/>
      <c r="M132" s="440"/>
      <c r="N132" s="440"/>
      <c r="O132" s="440"/>
      <c r="P132" s="582"/>
    </row>
    <row r="133" spans="1:19">
      <c r="A133" s="557"/>
      <c r="B133" s="558" t="s">
        <v>470</v>
      </c>
      <c r="C133" s="559"/>
      <c r="D133" s="559"/>
      <c r="E133" s="559"/>
      <c r="F133" s="559"/>
      <c r="G133" s="559"/>
      <c r="H133" s="559"/>
      <c r="I133" s="559"/>
      <c r="J133" s="559"/>
      <c r="K133" s="559"/>
      <c r="L133" s="559"/>
      <c r="M133" s="559"/>
      <c r="N133" s="559"/>
      <c r="O133" s="559"/>
      <c r="P133" s="561"/>
    </row>
    <row r="134" spans="1:19">
      <c r="A134" s="562"/>
      <c r="B134" s="447" t="s">
        <v>456</v>
      </c>
      <c r="C134" s="563">
        <f>'REVRUNS 12ME0623'!D224+'REVRUNS 12ME0623'!D237</f>
        <v>4315349.09901</v>
      </c>
      <c r="D134" s="563">
        <f>'REVRUNS 12ME0623'!E224+'REVRUNS 12ME0623'!E237</f>
        <v>4250767.0290000001</v>
      </c>
      <c r="E134" s="563">
        <f>'REVRUNS 12ME0623'!F224+'REVRUNS 12ME0623'!F237</f>
        <v>4777094.7321800003</v>
      </c>
      <c r="F134" s="563">
        <f>'REVRUNS 12ME0623'!G224+'REVRUNS 12ME0623'!G237</f>
        <v>2868972.9504800001</v>
      </c>
      <c r="G134" s="563">
        <f>'REVRUNS 12ME0623'!H224+'REVRUNS 12ME0623'!H237</f>
        <v>2488999.6634999998</v>
      </c>
      <c r="H134" s="563">
        <f>'REVRUNS 12ME0623'!I224+'REVRUNS 12ME0623'!I237</f>
        <v>2053945.4382100001</v>
      </c>
      <c r="I134" s="563">
        <f>'REVRUNS 12ME0623'!J224+'REVRUNS 12ME0623'!J237</f>
        <v>1875289.5195299999</v>
      </c>
      <c r="J134" s="563">
        <f>'REVRUNS 12ME0623'!K224+'REVRUNS 12ME0623'!K237</f>
        <v>1369540.4623400001</v>
      </c>
      <c r="K134" s="563">
        <f>'REVRUNS 12ME0623'!L224+'REVRUNS 12ME0623'!L237</f>
        <v>2083138.25</v>
      </c>
      <c r="L134" s="563">
        <f>'REVRUNS 12ME0623'!M224+'REVRUNS 12ME0623'!M237</f>
        <v>1926624.99184</v>
      </c>
      <c r="M134" s="563">
        <f>'REVRUNS 12ME0623'!N224+'REVRUNS 12ME0623'!N237</f>
        <v>3581334.0961599997</v>
      </c>
      <c r="N134" s="563">
        <f>'REVRUNS 12ME0623'!O224+'REVRUNS 12ME0623'!O237</f>
        <v>4442295.2213300001</v>
      </c>
      <c r="O134" s="564">
        <f>SUM(C134:N134)</f>
        <v>36033351.45358</v>
      </c>
      <c r="P134" s="584"/>
      <c r="R134" s="42">
        <v>0</v>
      </c>
      <c r="S134" s="373" t="e">
        <f>R134/$R$137</f>
        <v>#DIV/0!</v>
      </c>
    </row>
    <row r="135" spans="1:19">
      <c r="A135" s="562"/>
      <c r="B135" s="447" t="s">
        <v>457</v>
      </c>
      <c r="C135" s="563">
        <f>'REVRUNS 12ME0623'!D225+'REVRUNS 12ME0623'!D238</f>
        <v>1465118.3076599999</v>
      </c>
      <c r="D135" s="563">
        <f>'REVRUNS 12ME0623'!E225+'REVRUNS 12ME0623'!E238</f>
        <v>1671049.946</v>
      </c>
      <c r="E135" s="563">
        <f>'REVRUNS 12ME0623'!F225+'REVRUNS 12ME0623'!F238</f>
        <v>1638148.1343200002</v>
      </c>
      <c r="F135" s="563">
        <f>'REVRUNS 12ME0623'!G225+'REVRUNS 12ME0623'!G238</f>
        <v>1100759.8307100001</v>
      </c>
      <c r="G135" s="563">
        <f>'REVRUNS 12ME0623'!H225+'REVRUNS 12ME0623'!H238</f>
        <v>533324.89266000001</v>
      </c>
      <c r="H135" s="563">
        <f>'REVRUNS 12ME0623'!I225+'REVRUNS 12ME0623'!I238</f>
        <v>584754.39899999998</v>
      </c>
      <c r="I135" s="563">
        <f>'REVRUNS 12ME0623'!J225+'REVRUNS 12ME0623'!J238</f>
        <v>587312.12251000002</v>
      </c>
      <c r="J135" s="563">
        <f>'REVRUNS 12ME0623'!K225+'REVRUNS 12ME0623'!K238</f>
        <v>433111.20133000001</v>
      </c>
      <c r="K135" s="563">
        <f>'REVRUNS 12ME0623'!L225+'REVRUNS 12ME0623'!L238</f>
        <v>643076.16700000002</v>
      </c>
      <c r="L135" s="563">
        <f>'REVRUNS 12ME0623'!M225+'REVRUNS 12ME0623'!M238</f>
        <v>461909.76715999999</v>
      </c>
      <c r="M135" s="563">
        <f>'REVRUNS 12ME0623'!N225+'REVRUNS 12ME0623'!N238</f>
        <v>1089559.58767</v>
      </c>
      <c r="N135" s="563">
        <f>'REVRUNS 12ME0623'!O225+'REVRUNS 12ME0623'!O238</f>
        <v>1518033.8498399998</v>
      </c>
      <c r="O135" s="564">
        <f>SUM(C135:N135)</f>
        <v>11726158.205860002</v>
      </c>
      <c r="P135" s="584"/>
      <c r="R135" s="42">
        <v>0</v>
      </c>
      <c r="S135" s="373" t="e">
        <f>R135/$R$137</f>
        <v>#DIV/0!</v>
      </c>
    </row>
    <row r="136" spans="1:19">
      <c r="A136" s="562"/>
      <c r="B136" s="447" t="s">
        <v>468</v>
      </c>
      <c r="C136" s="563">
        <f>'REVRUNS 12ME0623'!D226+'REVRUNS 12ME0623'!D239+'REVRUNS 12ME0623'!D212</f>
        <v>13455990.589329999</v>
      </c>
      <c r="D136" s="563">
        <f>'REVRUNS 12ME0623'!E226+'REVRUNS 12ME0623'!E239+'REVRUNS 12ME0623'!E212</f>
        <v>17604382.754000001</v>
      </c>
      <c r="E136" s="563">
        <f>'REVRUNS 12ME0623'!F226+'REVRUNS 12ME0623'!F239+'REVRUNS 12ME0623'!F212</f>
        <v>19376368.045500003</v>
      </c>
      <c r="F136" s="563">
        <f>'REVRUNS 12ME0623'!G226+'REVRUNS 12ME0623'!G239+'REVRUNS 12ME0623'!G212</f>
        <v>12095908.662810002</v>
      </c>
      <c r="G136" s="563">
        <f>'REVRUNS 12ME0623'!H226+'REVRUNS 12ME0623'!H239+'REVRUNS 12ME0623'!H212</f>
        <v>3359423.0798399998</v>
      </c>
      <c r="H136" s="563">
        <f>'REVRUNS 12ME0623'!I226+'REVRUNS 12ME0623'!I239+'REVRUNS 12ME0623'!I212</f>
        <v>2784758.5558099998</v>
      </c>
      <c r="I136" s="563">
        <f>'REVRUNS 12ME0623'!J226+'REVRUNS 12ME0623'!J239+'REVRUNS 12ME0623'!J212</f>
        <v>2580470.2461299999</v>
      </c>
      <c r="J136" s="563">
        <f>'REVRUNS 12ME0623'!K226+'REVRUNS 12ME0623'!K239+'REVRUNS 12ME0623'!K212</f>
        <v>1972310.83733</v>
      </c>
      <c r="K136" s="563">
        <f>'REVRUNS 12ME0623'!L226+'REVRUNS 12ME0623'!L239+'REVRUNS 12ME0623'!L212</f>
        <v>2592941.5579999997</v>
      </c>
      <c r="L136" s="563">
        <f>'REVRUNS 12ME0623'!M226+'REVRUNS 12ME0623'!M239+'REVRUNS 12ME0623'!M212</f>
        <v>2725215.2439999999</v>
      </c>
      <c r="M136" s="563">
        <f>'REVRUNS 12ME0623'!N226+'REVRUNS 12ME0623'!N239+'REVRUNS 12ME0623'!N212</f>
        <v>7253538.0241700001</v>
      </c>
      <c r="N136" s="563">
        <f>'REVRUNS 12ME0623'!O226+'REVRUNS 12ME0623'!O239+'REVRUNS 12ME0623'!O212</f>
        <v>13920648.204829998</v>
      </c>
      <c r="O136" s="564">
        <f>SUM(C136:N136)</f>
        <v>99721955.801750004</v>
      </c>
      <c r="P136" s="584"/>
      <c r="R136" s="372">
        <v>0</v>
      </c>
      <c r="S136" s="374" t="e">
        <f>R136/$R$137</f>
        <v>#DIV/0!</v>
      </c>
    </row>
    <row r="137" spans="1:19">
      <c r="A137" s="562" t="s">
        <v>458</v>
      </c>
      <c r="B137" s="535" t="s">
        <v>64</v>
      </c>
      <c r="C137" s="38">
        <f t="shared" ref="C137:O137" si="67">SUM(C134:C136)</f>
        <v>19236457.995999999</v>
      </c>
      <c r="D137" s="38">
        <f t="shared" si="67"/>
        <v>23526199.729000002</v>
      </c>
      <c r="E137" s="38">
        <f t="shared" si="67"/>
        <v>25791610.912000004</v>
      </c>
      <c r="F137" s="38">
        <f t="shared" si="67"/>
        <v>16065641.444000002</v>
      </c>
      <c r="G137" s="38">
        <f t="shared" si="67"/>
        <v>6381747.6359999999</v>
      </c>
      <c r="H137" s="38">
        <f t="shared" si="67"/>
        <v>5423458.3930200003</v>
      </c>
      <c r="I137" s="38">
        <f t="shared" si="67"/>
        <v>5043071.8881700002</v>
      </c>
      <c r="J137" s="38">
        <f t="shared" si="67"/>
        <v>3774962.5010000002</v>
      </c>
      <c r="K137" s="38">
        <f t="shared" si="67"/>
        <v>5319155.9749999996</v>
      </c>
      <c r="L137" s="38">
        <f t="shared" si="67"/>
        <v>5113750.0030000005</v>
      </c>
      <c r="M137" s="38">
        <f t="shared" si="67"/>
        <v>11924431.708000001</v>
      </c>
      <c r="N137" s="38">
        <f t="shared" si="67"/>
        <v>19880977.276000001</v>
      </c>
      <c r="O137" s="38">
        <f t="shared" si="67"/>
        <v>147481465.46119002</v>
      </c>
      <c r="P137" s="584"/>
      <c r="R137" s="42">
        <f>SUM(R134:R136)</f>
        <v>0</v>
      </c>
      <c r="S137" s="81" t="e">
        <f>SUM(S134:S136)</f>
        <v>#DIV/0!</v>
      </c>
    </row>
    <row r="138" spans="1:19">
      <c r="A138" s="562"/>
      <c r="B138" s="447" t="s">
        <v>72</v>
      </c>
      <c r="C138" s="428">
        <f>'REVRUNS 12ME0623'!D342</f>
        <v>19236457.995999999</v>
      </c>
      <c r="D138" s="428">
        <f>'REVRUNS 12ME0623'!E342</f>
        <v>23526199.729000002</v>
      </c>
      <c r="E138" s="428">
        <f>'REVRUNS 12ME0623'!F342</f>
        <v>25791610.912</v>
      </c>
      <c r="F138" s="428">
        <f>'REVRUNS 12ME0623'!G342</f>
        <v>16065641.444</v>
      </c>
      <c r="G138" s="428">
        <f>'REVRUNS 12ME0623'!H342</f>
        <v>6381747.6359999999</v>
      </c>
      <c r="H138" s="428">
        <f>'REVRUNS 12ME0623'!I342</f>
        <v>5423458.3930199994</v>
      </c>
      <c r="I138" s="428">
        <f>'REVRUNS 12ME0623'!J342</f>
        <v>5043071.8881699992</v>
      </c>
      <c r="J138" s="428">
        <f>'REVRUNS 12ME0623'!K342</f>
        <v>3774962.5010000006</v>
      </c>
      <c r="K138" s="428">
        <f>'REVRUNS 12ME0623'!L342</f>
        <v>5319155.9749999996</v>
      </c>
      <c r="L138" s="428">
        <f>'REVRUNS 12ME0623'!M342</f>
        <v>5113750.0029999996</v>
      </c>
      <c r="M138" s="428">
        <f>'REVRUNS 12ME0623'!N342</f>
        <v>11924431.708000001</v>
      </c>
      <c r="N138" s="428">
        <f>'REVRUNS 12ME0623'!O342</f>
        <v>19880977.276000001</v>
      </c>
      <c r="O138" s="564">
        <f>SUM(C138:N138)</f>
        <v>147481465.46119002</v>
      </c>
      <c r="P138" s="565"/>
    </row>
    <row r="139" spans="1:19">
      <c r="A139" s="562"/>
      <c r="B139" s="447"/>
      <c r="C139" s="45">
        <f t="shared" ref="C139:N139" si="68">C138-C137</f>
        <v>0</v>
      </c>
      <c r="D139" s="45">
        <f t="shared" si="68"/>
        <v>0</v>
      </c>
      <c r="E139" s="45">
        <f t="shared" si="68"/>
        <v>0</v>
      </c>
      <c r="F139" s="45">
        <f t="shared" si="68"/>
        <v>0</v>
      </c>
      <c r="G139" s="45">
        <f t="shared" si="68"/>
        <v>0</v>
      </c>
      <c r="H139" s="45">
        <f t="shared" si="68"/>
        <v>0</v>
      </c>
      <c r="I139" s="45">
        <f t="shared" si="68"/>
        <v>0</v>
      </c>
      <c r="J139" s="271">
        <f t="shared" si="68"/>
        <v>0</v>
      </c>
      <c r="K139" s="45">
        <f t="shared" si="68"/>
        <v>0</v>
      </c>
      <c r="L139" s="45">
        <f t="shared" si="68"/>
        <v>0</v>
      </c>
      <c r="M139" s="45">
        <f t="shared" si="68"/>
        <v>0</v>
      </c>
      <c r="N139" s="45">
        <f t="shared" si="68"/>
        <v>0</v>
      </c>
      <c r="O139" s="564">
        <f>SUM(C139:N139)</f>
        <v>0</v>
      </c>
      <c r="P139" s="568">
        <f>O139/O138</f>
        <v>0</v>
      </c>
    </row>
    <row r="140" spans="1:19">
      <c r="A140" s="562"/>
      <c r="B140" s="447"/>
      <c r="C140" s="45"/>
      <c r="D140" s="45"/>
      <c r="E140" s="45"/>
      <c r="F140" s="45"/>
      <c r="G140" s="45"/>
      <c r="H140" s="45"/>
      <c r="I140" s="45"/>
      <c r="J140" s="271"/>
      <c r="K140" s="45"/>
      <c r="L140" s="45"/>
      <c r="M140" s="45"/>
      <c r="N140" s="45"/>
      <c r="O140" s="564"/>
      <c r="P140" s="568"/>
    </row>
    <row r="141" spans="1:19">
      <c r="A141" s="562"/>
      <c r="B141" s="447" t="s">
        <v>456</v>
      </c>
      <c r="C141" s="371">
        <f>(C134/C$137)*C$139</f>
        <v>0</v>
      </c>
      <c r="D141" s="371">
        <f t="shared" ref="D141:N141" si="69">(D134/D$137)*D$139</f>
        <v>0</v>
      </c>
      <c r="E141" s="371">
        <f t="shared" si="69"/>
        <v>0</v>
      </c>
      <c r="F141" s="371">
        <f t="shared" si="69"/>
        <v>0</v>
      </c>
      <c r="G141" s="371">
        <f t="shared" si="69"/>
        <v>0</v>
      </c>
      <c r="H141" s="371">
        <f t="shared" si="69"/>
        <v>0</v>
      </c>
      <c r="I141" s="371">
        <f t="shared" si="69"/>
        <v>0</v>
      </c>
      <c r="J141" s="371">
        <f t="shared" si="69"/>
        <v>0</v>
      </c>
      <c r="K141" s="371">
        <f t="shared" si="69"/>
        <v>0</v>
      </c>
      <c r="L141" s="371">
        <f>(L134/L$137)*L$139</f>
        <v>0</v>
      </c>
      <c r="M141" s="371">
        <f t="shared" si="69"/>
        <v>0</v>
      </c>
      <c r="N141" s="371">
        <f t="shared" si="69"/>
        <v>0</v>
      </c>
      <c r="O141" s="371">
        <f>SUM(C141:N141)</f>
        <v>0</v>
      </c>
      <c r="P141" s="568"/>
    </row>
    <row r="142" spans="1:19">
      <c r="A142" s="562"/>
      <c r="B142" s="447" t="s">
        <v>457</v>
      </c>
      <c r="C142" s="371">
        <f t="shared" ref="C142:N143" si="70">(C135/C$137)*C$139</f>
        <v>0</v>
      </c>
      <c r="D142" s="371">
        <f t="shared" si="70"/>
        <v>0</v>
      </c>
      <c r="E142" s="371">
        <f t="shared" si="70"/>
        <v>0</v>
      </c>
      <c r="F142" s="371">
        <f t="shared" si="70"/>
        <v>0</v>
      </c>
      <c r="G142" s="371">
        <f t="shared" si="70"/>
        <v>0</v>
      </c>
      <c r="H142" s="371">
        <f t="shared" si="70"/>
        <v>0</v>
      </c>
      <c r="I142" s="371">
        <f t="shared" si="70"/>
        <v>0</v>
      </c>
      <c r="J142" s="371">
        <f t="shared" si="70"/>
        <v>0</v>
      </c>
      <c r="K142" s="371">
        <f t="shared" si="70"/>
        <v>0</v>
      </c>
      <c r="L142" s="371">
        <f t="shared" si="70"/>
        <v>0</v>
      </c>
      <c r="M142" s="371">
        <f t="shared" si="70"/>
        <v>0</v>
      </c>
      <c r="N142" s="371">
        <f t="shared" si="70"/>
        <v>0</v>
      </c>
      <c r="O142" s="371">
        <f>SUM(C142:N142)</f>
        <v>0</v>
      </c>
      <c r="P142" s="568"/>
    </row>
    <row r="143" spans="1:19">
      <c r="A143" s="562"/>
      <c r="B143" s="447" t="s">
        <v>468</v>
      </c>
      <c r="C143" s="370">
        <f t="shared" si="70"/>
        <v>0</v>
      </c>
      <c r="D143" s="370">
        <f t="shared" si="70"/>
        <v>0</v>
      </c>
      <c r="E143" s="370">
        <f t="shared" si="70"/>
        <v>0</v>
      </c>
      <c r="F143" s="370">
        <f t="shared" si="70"/>
        <v>0</v>
      </c>
      <c r="G143" s="370">
        <f t="shared" si="70"/>
        <v>0</v>
      </c>
      <c r="H143" s="370">
        <f t="shared" si="70"/>
        <v>0</v>
      </c>
      <c r="I143" s="370">
        <f t="shared" si="70"/>
        <v>0</v>
      </c>
      <c r="J143" s="370">
        <f t="shared" si="70"/>
        <v>0</v>
      </c>
      <c r="K143" s="370">
        <f t="shared" si="70"/>
        <v>0</v>
      </c>
      <c r="L143" s="370">
        <f t="shared" si="70"/>
        <v>0</v>
      </c>
      <c r="M143" s="370">
        <f t="shared" si="70"/>
        <v>0</v>
      </c>
      <c r="N143" s="370">
        <f t="shared" si="70"/>
        <v>0</v>
      </c>
      <c r="O143" s="370">
        <f>SUM(C143:N143)</f>
        <v>0</v>
      </c>
      <c r="P143" s="568"/>
    </row>
    <row r="144" spans="1:19">
      <c r="A144" s="562"/>
      <c r="B144" s="447"/>
      <c r="C144" s="371">
        <f t="shared" ref="C144:O144" si="71">SUM(C141:C143)</f>
        <v>0</v>
      </c>
      <c r="D144" s="371">
        <f t="shared" si="71"/>
        <v>0</v>
      </c>
      <c r="E144" s="371">
        <f t="shared" si="71"/>
        <v>0</v>
      </c>
      <c r="F144" s="371">
        <f t="shared" si="71"/>
        <v>0</v>
      </c>
      <c r="G144" s="371">
        <f t="shared" si="71"/>
        <v>0</v>
      </c>
      <c r="H144" s="371">
        <f t="shared" si="71"/>
        <v>0</v>
      </c>
      <c r="I144" s="371">
        <f t="shared" si="71"/>
        <v>0</v>
      </c>
      <c r="J144" s="371">
        <f t="shared" si="71"/>
        <v>0</v>
      </c>
      <c r="K144" s="371">
        <f t="shared" si="71"/>
        <v>0</v>
      </c>
      <c r="L144" s="371">
        <f t="shared" si="71"/>
        <v>0</v>
      </c>
      <c r="M144" s="371">
        <f t="shared" si="71"/>
        <v>0</v>
      </c>
      <c r="N144" s="371">
        <f t="shared" si="71"/>
        <v>0</v>
      </c>
      <c r="O144" s="371">
        <f t="shared" si="71"/>
        <v>0</v>
      </c>
      <c r="P144" s="568"/>
    </row>
    <row r="145" spans="1:18">
      <c r="A145" s="562"/>
      <c r="B145" s="447"/>
      <c r="C145" s="371"/>
      <c r="D145" s="371"/>
      <c r="E145" s="371"/>
      <c r="F145" s="371"/>
      <c r="G145" s="371"/>
      <c r="H145" s="371"/>
      <c r="I145" s="371"/>
      <c r="J145" s="371"/>
      <c r="K145" s="371"/>
      <c r="L145" s="371"/>
      <c r="M145" s="371"/>
      <c r="N145" s="371"/>
      <c r="O145" s="371"/>
      <c r="P145" s="568"/>
    </row>
    <row r="146" spans="1:18">
      <c r="A146" s="562"/>
      <c r="B146" s="447" t="s">
        <v>456</v>
      </c>
      <c r="C146" s="371">
        <f>C134+C141</f>
        <v>4315349.09901</v>
      </c>
      <c r="D146" s="371">
        <f t="shared" ref="D146:N146" si="72">D134+D141</f>
        <v>4250767.0290000001</v>
      </c>
      <c r="E146" s="371">
        <f t="shared" si="72"/>
        <v>4777094.7321800003</v>
      </c>
      <c r="F146" s="371">
        <f t="shared" si="72"/>
        <v>2868972.9504800001</v>
      </c>
      <c r="G146" s="371">
        <f t="shared" si="72"/>
        <v>2488999.6634999998</v>
      </c>
      <c r="H146" s="371">
        <f t="shared" si="72"/>
        <v>2053945.4382100001</v>
      </c>
      <c r="I146" s="371">
        <f t="shared" si="72"/>
        <v>1875289.5195299999</v>
      </c>
      <c r="J146" s="371">
        <f t="shared" si="72"/>
        <v>1369540.4623400001</v>
      </c>
      <c r="K146" s="371">
        <f t="shared" si="72"/>
        <v>2083138.25</v>
      </c>
      <c r="L146" s="371">
        <f>L134+L141</f>
        <v>1926624.99184</v>
      </c>
      <c r="M146" s="371">
        <f t="shared" si="72"/>
        <v>3581334.0961599997</v>
      </c>
      <c r="N146" s="371">
        <f t="shared" si="72"/>
        <v>4442295.2213300001</v>
      </c>
      <c r="O146" s="371">
        <f>SUM(C146:N146)</f>
        <v>36033351.45358</v>
      </c>
      <c r="P146" s="568">
        <f>O146/$O$149</f>
        <v>0.24432460947482404</v>
      </c>
    </row>
    <row r="147" spans="1:18">
      <c r="A147" s="562"/>
      <c r="B147" s="447" t="s">
        <v>457</v>
      </c>
      <c r="C147" s="371">
        <f t="shared" ref="C147:N148" si="73">C135+C142</f>
        <v>1465118.3076599999</v>
      </c>
      <c r="D147" s="371">
        <f t="shared" si="73"/>
        <v>1671049.946</v>
      </c>
      <c r="E147" s="371">
        <f t="shared" si="73"/>
        <v>1638148.1343200002</v>
      </c>
      <c r="F147" s="371">
        <f t="shared" si="73"/>
        <v>1100759.8307100001</v>
      </c>
      <c r="G147" s="371">
        <f t="shared" si="73"/>
        <v>533324.89266000001</v>
      </c>
      <c r="H147" s="371">
        <f t="shared" si="73"/>
        <v>584754.39899999998</v>
      </c>
      <c r="I147" s="371">
        <f t="shared" si="73"/>
        <v>587312.12251000002</v>
      </c>
      <c r="J147" s="371">
        <f t="shared" si="73"/>
        <v>433111.20133000001</v>
      </c>
      <c r="K147" s="371">
        <f t="shared" si="73"/>
        <v>643076.16700000002</v>
      </c>
      <c r="L147" s="371">
        <f t="shared" si="73"/>
        <v>461909.76715999999</v>
      </c>
      <c r="M147" s="371">
        <f t="shared" si="73"/>
        <v>1089559.58767</v>
      </c>
      <c r="N147" s="371">
        <f t="shared" si="73"/>
        <v>1518033.8498399998</v>
      </c>
      <c r="O147" s="371">
        <f>SUM(C147:N147)</f>
        <v>11726158.205860002</v>
      </c>
      <c r="P147" s="568">
        <f>O147/$O$149</f>
        <v>7.9509368646365666E-2</v>
      </c>
    </row>
    <row r="148" spans="1:18">
      <c r="A148" s="562"/>
      <c r="B148" s="447" t="s">
        <v>468</v>
      </c>
      <c r="C148" s="370">
        <f t="shared" si="73"/>
        <v>13455990.589329999</v>
      </c>
      <c r="D148" s="370">
        <f t="shared" si="73"/>
        <v>17604382.754000001</v>
      </c>
      <c r="E148" s="370">
        <f t="shared" si="73"/>
        <v>19376368.045500003</v>
      </c>
      <c r="F148" s="370">
        <f t="shared" si="73"/>
        <v>12095908.662810002</v>
      </c>
      <c r="G148" s="370">
        <f t="shared" si="73"/>
        <v>3359423.0798399998</v>
      </c>
      <c r="H148" s="370">
        <f t="shared" si="73"/>
        <v>2784758.5558099998</v>
      </c>
      <c r="I148" s="370">
        <f t="shared" si="73"/>
        <v>2580470.2461299999</v>
      </c>
      <c r="J148" s="370">
        <f t="shared" si="73"/>
        <v>1972310.83733</v>
      </c>
      <c r="K148" s="370">
        <f t="shared" si="73"/>
        <v>2592941.5579999997</v>
      </c>
      <c r="L148" s="370">
        <f t="shared" si="73"/>
        <v>2725215.2439999999</v>
      </c>
      <c r="M148" s="370">
        <f t="shared" si="73"/>
        <v>7253538.0241700001</v>
      </c>
      <c r="N148" s="370">
        <f t="shared" si="73"/>
        <v>13920648.204829998</v>
      </c>
      <c r="O148" s="370">
        <f>SUM(C148:N148)</f>
        <v>99721955.801750004</v>
      </c>
      <c r="P148" s="568">
        <f>O148/$O$149</f>
        <v>0.67616602187881025</v>
      </c>
    </row>
    <row r="149" spans="1:18">
      <c r="A149" s="562"/>
      <c r="B149" s="447"/>
      <c r="C149" s="371">
        <f t="shared" ref="C149:O149" si="74">SUM(C146:C148)</f>
        <v>19236457.995999999</v>
      </c>
      <c r="D149" s="371">
        <f t="shared" si="74"/>
        <v>23526199.729000002</v>
      </c>
      <c r="E149" s="371">
        <f t="shared" si="74"/>
        <v>25791610.912000004</v>
      </c>
      <c r="F149" s="371">
        <f t="shared" si="74"/>
        <v>16065641.444000002</v>
      </c>
      <c r="G149" s="371">
        <f t="shared" si="74"/>
        <v>6381747.6359999999</v>
      </c>
      <c r="H149" s="371">
        <f t="shared" si="74"/>
        <v>5423458.3930200003</v>
      </c>
      <c r="I149" s="371">
        <f t="shared" si="74"/>
        <v>5043071.8881700002</v>
      </c>
      <c r="J149" s="371">
        <f t="shared" si="74"/>
        <v>3774962.5010000002</v>
      </c>
      <c r="K149" s="371">
        <f t="shared" si="74"/>
        <v>5319155.9749999996</v>
      </c>
      <c r="L149" s="371">
        <f t="shared" si="74"/>
        <v>5113750.0030000005</v>
      </c>
      <c r="M149" s="371">
        <f t="shared" si="74"/>
        <v>11924431.708000001</v>
      </c>
      <c r="N149" s="371">
        <f t="shared" si="74"/>
        <v>19880977.276000001</v>
      </c>
      <c r="O149" s="371">
        <f t="shared" si="74"/>
        <v>147481465.46119002</v>
      </c>
      <c r="P149" s="568">
        <f>O149/$O$149</f>
        <v>1</v>
      </c>
    </row>
    <row r="150" spans="1:18">
      <c r="A150" s="562"/>
      <c r="B150" s="447"/>
      <c r="C150" s="564">
        <f t="shared" ref="C150:O150" si="75">C149-C138</f>
        <v>0</v>
      </c>
      <c r="D150" s="564">
        <f t="shared" si="75"/>
        <v>0</v>
      </c>
      <c r="E150" s="564">
        <f t="shared" si="75"/>
        <v>0</v>
      </c>
      <c r="F150" s="564">
        <f t="shared" si="75"/>
        <v>0</v>
      </c>
      <c r="G150" s="564">
        <f t="shared" si="75"/>
        <v>0</v>
      </c>
      <c r="H150" s="564">
        <f t="shared" si="75"/>
        <v>0</v>
      </c>
      <c r="I150" s="564">
        <f t="shared" si="75"/>
        <v>0</v>
      </c>
      <c r="J150" s="564">
        <f t="shared" si="75"/>
        <v>0</v>
      </c>
      <c r="K150" s="564">
        <f t="shared" si="75"/>
        <v>0</v>
      </c>
      <c r="L150" s="564">
        <f t="shared" si="75"/>
        <v>0</v>
      </c>
      <c r="M150" s="564">
        <f t="shared" si="75"/>
        <v>0</v>
      </c>
      <c r="N150" s="564">
        <f t="shared" si="75"/>
        <v>0</v>
      </c>
      <c r="O150" s="564">
        <f t="shared" si="75"/>
        <v>0</v>
      </c>
      <c r="P150" s="568"/>
    </row>
    <row r="151" spans="1:18">
      <c r="A151" s="562"/>
      <c r="B151" s="447"/>
      <c r="C151" s="45"/>
      <c r="D151" s="45"/>
      <c r="E151" s="45"/>
      <c r="F151" s="45"/>
      <c r="G151" s="45"/>
      <c r="H151" s="45"/>
      <c r="I151" s="45"/>
      <c r="J151" s="271"/>
      <c r="K151" s="45"/>
      <c r="L151" s="45"/>
      <c r="M151" s="45"/>
      <c r="N151" s="45"/>
      <c r="O151" s="564"/>
      <c r="P151" s="568"/>
    </row>
    <row r="152" spans="1:18">
      <c r="A152" s="575"/>
      <c r="B152" s="535" t="s">
        <v>467</v>
      </c>
      <c r="C152" s="447"/>
      <c r="D152" s="447"/>
      <c r="E152" s="447"/>
      <c r="F152" s="447"/>
      <c r="G152" s="447"/>
      <c r="H152" s="447"/>
      <c r="I152" s="447"/>
      <c r="J152" s="447"/>
      <c r="K152" s="447"/>
      <c r="L152" s="447"/>
      <c r="M152" s="447"/>
      <c r="N152" s="447"/>
      <c r="O152" s="447"/>
      <c r="P152" s="565"/>
    </row>
    <row r="153" spans="1:18">
      <c r="A153" s="562"/>
      <c r="B153" s="447" t="s">
        <v>463</v>
      </c>
      <c r="C153" s="567">
        <f>('REVRUNS 12ME0623'!D480+'REVRUNS 12ME0623'!D483+'REVRUNS 12ME0623'!D486)/0.5</f>
        <v>0</v>
      </c>
      <c r="D153" s="567">
        <f>('REVRUNS 12ME0623'!E480+'REVRUNS 12ME0623'!E483+'REVRUNS 12ME0623'!E486)/0.5</f>
        <v>0</v>
      </c>
      <c r="E153" s="567">
        <f>('REVRUNS 12ME0623'!F480+'REVRUNS 12ME0623'!F483+'REVRUNS 12ME0623'!F486)/0.5</f>
        <v>0</v>
      </c>
      <c r="F153" s="567">
        <f>('REVRUNS 12ME0623'!G480+'REVRUNS 12ME0623'!G483+'REVRUNS 12ME0623'!G486)/0.5</f>
        <v>0</v>
      </c>
      <c r="G153" s="567">
        <f>('REVRUNS 12ME0623'!H480+'REVRUNS 12ME0623'!H483+'REVRUNS 12ME0623'!H486)/0.5</f>
        <v>0</v>
      </c>
      <c r="H153" s="567">
        <f>('REVRUNS 12ME0623'!I480+'REVRUNS 12ME0623'!I483+'REVRUNS 12ME0623'!I486)/0.5</f>
        <v>0</v>
      </c>
      <c r="I153" s="567">
        <f>('REVRUNS 12ME0623'!J480+'REVRUNS 12ME0623'!J483+'REVRUNS 12ME0623'!J486)/0.5</f>
        <v>0</v>
      </c>
      <c r="J153" s="567">
        <f>('REVRUNS 12ME0623'!K480+'REVRUNS 12ME0623'!K483+'REVRUNS 12ME0623'!K486)/0.5</f>
        <v>0</v>
      </c>
      <c r="K153" s="567">
        <f>('REVRUNS 12ME0623'!L480+'REVRUNS 12ME0623'!L483+'REVRUNS 12ME0623'!L486)/0.5</f>
        <v>0</v>
      </c>
      <c r="L153" s="567">
        <f>('REVRUNS 12ME0623'!M480+'REVRUNS 12ME0623'!M483+'REVRUNS 12ME0623'!M486)/0.5</f>
        <v>0</v>
      </c>
      <c r="M153" s="567">
        <f>('REVRUNS 12ME0623'!N480+'REVRUNS 12ME0623'!N483+'REVRUNS 12ME0623'!N486)/0.5</f>
        <v>0</v>
      </c>
      <c r="N153" s="567">
        <f>('REVRUNS 12ME0623'!O480+'REVRUNS 12ME0623'!O483+'REVRUNS 12ME0623'!O486)/0.5</f>
        <v>0</v>
      </c>
      <c r="O153" s="564">
        <f>SUM(C153:N153)</f>
        <v>0</v>
      </c>
      <c r="P153" s="565"/>
      <c r="R153" s="42">
        <v>0</v>
      </c>
    </row>
    <row r="154" spans="1:18">
      <c r="A154" s="562"/>
      <c r="B154" s="447" t="s">
        <v>464</v>
      </c>
      <c r="C154" s="579">
        <v>0.5</v>
      </c>
      <c r="D154" s="579">
        <v>0.5</v>
      </c>
      <c r="E154" s="579">
        <v>0.5</v>
      </c>
      <c r="F154" s="579">
        <v>0.5</v>
      </c>
      <c r="G154" s="579">
        <v>0.5</v>
      </c>
      <c r="H154" s="579">
        <v>0.5</v>
      </c>
      <c r="I154" s="579">
        <v>0.5</v>
      </c>
      <c r="J154" s="579">
        <v>0.5</v>
      </c>
      <c r="K154" s="579">
        <v>0.5</v>
      </c>
      <c r="L154" s="579">
        <v>0.5</v>
      </c>
      <c r="M154" s="579">
        <v>0.5</v>
      </c>
      <c r="N154" s="579">
        <v>0.5</v>
      </c>
      <c r="O154" s="579">
        <v>0.5</v>
      </c>
      <c r="P154" s="565"/>
    </row>
    <row r="155" spans="1:18">
      <c r="A155" s="562"/>
      <c r="B155" s="447" t="s">
        <v>465</v>
      </c>
      <c r="C155" s="579">
        <f t="shared" ref="C155:H155" si="76">C153*C154</f>
        <v>0</v>
      </c>
      <c r="D155" s="579">
        <f t="shared" si="76"/>
        <v>0</v>
      </c>
      <c r="E155" s="579">
        <f t="shared" si="76"/>
        <v>0</v>
      </c>
      <c r="F155" s="579">
        <f t="shared" si="76"/>
        <v>0</v>
      </c>
      <c r="G155" s="579">
        <f t="shared" si="76"/>
        <v>0</v>
      </c>
      <c r="H155" s="579">
        <f t="shared" si="76"/>
        <v>0</v>
      </c>
      <c r="I155" s="579">
        <f>I153*I154</f>
        <v>0</v>
      </c>
      <c r="J155" s="579">
        <f t="shared" ref="J155:O155" si="77">J153*J154</f>
        <v>0</v>
      </c>
      <c r="K155" s="579">
        <f t="shared" si="77"/>
        <v>0</v>
      </c>
      <c r="L155" s="579">
        <f t="shared" si="77"/>
        <v>0</v>
      </c>
      <c r="M155" s="579">
        <f t="shared" si="77"/>
        <v>0</v>
      </c>
      <c r="N155" s="579">
        <f t="shared" si="77"/>
        <v>0</v>
      </c>
      <c r="O155" s="579">
        <f t="shared" si="77"/>
        <v>0</v>
      </c>
      <c r="P155" s="580">
        <f>O155-'REVRUNS 12ME0623'!P480-'REVRUNS 12ME0623'!P483-'REVRUNS 12ME0623'!P486</f>
        <v>0</v>
      </c>
    </row>
    <row r="156" spans="1:18" ht="13.5" thickBot="1">
      <c r="A156" s="569"/>
      <c r="B156" s="440"/>
      <c r="C156" s="440"/>
      <c r="D156" s="440"/>
      <c r="E156" s="440"/>
      <c r="F156" s="440"/>
      <c r="G156" s="440"/>
      <c r="H156" s="440"/>
      <c r="I156" s="440"/>
      <c r="J156" s="440"/>
      <c r="K156" s="440"/>
      <c r="L156" s="440"/>
      <c r="M156" s="440"/>
      <c r="N156" s="440"/>
      <c r="O156" s="440"/>
      <c r="P156" s="582"/>
    </row>
    <row r="159" spans="1:18">
      <c r="C159" s="150"/>
    </row>
    <row r="160" spans="1:18">
      <c r="C160" s="150"/>
    </row>
    <row r="161" spans="3:3">
      <c r="C161" s="371"/>
    </row>
    <row r="162" spans="3:3">
      <c r="C162" s="371"/>
    </row>
    <row r="163" spans="3:3">
      <c r="C163" s="371"/>
    </row>
    <row r="164" spans="3:3">
      <c r="C164" s="371"/>
    </row>
    <row r="165" spans="3:3">
      <c r="C165" s="371"/>
    </row>
    <row r="166" spans="3:3">
      <c r="C166" s="371"/>
    </row>
    <row r="167" spans="3:3">
      <c r="C167" s="371"/>
    </row>
    <row r="168" spans="3:3">
      <c r="C168" s="150"/>
    </row>
    <row r="169" spans="3:3">
      <c r="C169" s="150"/>
    </row>
  </sheetData>
  <phoneticPr fontId="15" type="noConversion"/>
  <pageMargins left="0.45" right="0.34" top="0.56999999999999995" bottom="2.31" header="0.51" footer="0.3"/>
  <pageSetup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3:Q487"/>
  <sheetViews>
    <sheetView topLeftCell="A364" zoomScaleNormal="100" workbookViewId="0">
      <selection activeCell="T384" sqref="T384"/>
    </sheetView>
  </sheetViews>
  <sheetFormatPr defaultRowHeight="12.75"/>
  <cols>
    <col min="1" max="1" width="13.28515625" customWidth="1"/>
    <col min="2" max="2" width="10.5703125" customWidth="1"/>
    <col min="3" max="3" width="16.85546875" customWidth="1"/>
    <col min="4" max="4" width="13.5703125" bestFit="1" customWidth="1"/>
    <col min="5" max="14" width="13.42578125" bestFit="1" customWidth="1"/>
    <col min="15" max="15" width="16" bestFit="1" customWidth="1"/>
    <col min="16" max="16" width="14.5703125" bestFit="1" customWidth="1"/>
  </cols>
  <sheetData>
    <row r="3" spans="1:16">
      <c r="A3" s="494" t="s">
        <v>801</v>
      </c>
      <c r="B3" s="18"/>
      <c r="C3" s="18"/>
      <c r="D3" s="18"/>
      <c r="E3" s="18"/>
      <c r="F3" s="18"/>
      <c r="G3" s="18"/>
      <c r="H3" s="18"/>
      <c r="I3" s="18"/>
      <c r="J3" s="18"/>
      <c r="K3" s="18"/>
      <c r="L3" s="18"/>
      <c r="M3" s="18"/>
      <c r="N3" s="18"/>
      <c r="O3" s="18"/>
      <c r="P3" s="18"/>
    </row>
    <row r="4" spans="1:16">
      <c r="A4" s="18"/>
      <c r="B4" s="18"/>
      <c r="C4" s="18"/>
      <c r="D4" s="18"/>
      <c r="E4" s="18"/>
      <c r="F4" s="18"/>
      <c r="G4" s="18"/>
      <c r="H4" s="18"/>
      <c r="I4" s="18"/>
      <c r="J4" s="18"/>
      <c r="K4" s="18"/>
      <c r="L4" s="18"/>
      <c r="M4" s="18"/>
      <c r="N4" s="18"/>
      <c r="O4" s="18"/>
      <c r="P4" s="18"/>
    </row>
    <row r="5" spans="1:16">
      <c r="A5" s="18" t="s">
        <v>426</v>
      </c>
      <c r="B5" s="18"/>
      <c r="C5" s="18"/>
      <c r="D5" s="18"/>
      <c r="E5" s="18"/>
      <c r="F5" s="18"/>
      <c r="G5" s="18"/>
      <c r="H5" s="18"/>
      <c r="I5" s="18"/>
      <c r="J5" s="18"/>
      <c r="K5" s="18"/>
      <c r="L5" s="18"/>
      <c r="M5" s="18"/>
      <c r="N5" s="18"/>
      <c r="O5" s="18"/>
      <c r="P5" s="18"/>
    </row>
    <row r="6" spans="1:16">
      <c r="A6" s="18"/>
      <c r="B6" s="18"/>
      <c r="C6" s="18"/>
      <c r="D6" s="18"/>
      <c r="E6" s="18"/>
      <c r="F6" s="18"/>
      <c r="G6" s="18"/>
      <c r="H6" s="18"/>
      <c r="I6" s="18"/>
      <c r="J6" s="18"/>
      <c r="K6" s="18"/>
      <c r="L6" s="18"/>
      <c r="M6" s="18"/>
      <c r="N6" s="18"/>
      <c r="O6" s="18"/>
      <c r="P6" s="18"/>
    </row>
    <row r="7" spans="1:16">
      <c r="A7" s="18"/>
      <c r="B7" s="18"/>
      <c r="C7" s="18" t="s">
        <v>191</v>
      </c>
      <c r="D7" s="18"/>
      <c r="E7" s="18"/>
      <c r="F7" s="18"/>
      <c r="G7" s="18"/>
      <c r="H7" s="18"/>
      <c r="I7" s="18"/>
      <c r="J7" s="18"/>
      <c r="K7" s="18"/>
      <c r="L7" s="18"/>
      <c r="M7" s="18"/>
      <c r="N7" s="18"/>
      <c r="O7" s="18"/>
      <c r="P7" s="18"/>
    </row>
    <row r="8" spans="1:16">
      <c r="A8" s="18"/>
      <c r="B8" s="18" t="s">
        <v>427</v>
      </c>
      <c r="C8" s="18" t="s">
        <v>789</v>
      </c>
      <c r="D8" s="18" t="s">
        <v>790</v>
      </c>
      <c r="E8" s="18" t="s">
        <v>791</v>
      </c>
      <c r="F8" s="18" t="s">
        <v>792</v>
      </c>
      <c r="G8" s="18" t="s">
        <v>793</v>
      </c>
      <c r="H8" s="18" t="s">
        <v>794</v>
      </c>
      <c r="I8" s="18" t="s">
        <v>795</v>
      </c>
      <c r="J8" s="18" t="s">
        <v>796</v>
      </c>
      <c r="K8" s="18" t="s">
        <v>797</v>
      </c>
      <c r="L8" s="18" t="s">
        <v>798</v>
      </c>
      <c r="M8" s="18" t="s">
        <v>799</v>
      </c>
      <c r="N8" s="18" t="s">
        <v>800</v>
      </c>
      <c r="O8" s="18" t="s">
        <v>428</v>
      </c>
      <c r="P8" s="18" t="s">
        <v>64</v>
      </c>
    </row>
    <row r="9" spans="1:16">
      <c r="A9" s="18" t="s">
        <v>352</v>
      </c>
      <c r="B9" s="18"/>
      <c r="C9" s="18"/>
      <c r="D9" s="18"/>
      <c r="E9" s="18"/>
      <c r="F9" s="18"/>
      <c r="G9" s="18"/>
      <c r="H9" s="18"/>
      <c r="I9" s="18"/>
      <c r="J9" s="18"/>
      <c r="K9" s="18"/>
      <c r="L9" s="18"/>
      <c r="M9" s="18"/>
      <c r="N9" s="18"/>
      <c r="O9" s="18"/>
      <c r="P9" s="18"/>
    </row>
    <row r="10" spans="1:16">
      <c r="A10" s="18" t="s">
        <v>545</v>
      </c>
      <c r="B10" s="18"/>
      <c r="C10" s="466">
        <v>225506</v>
      </c>
      <c r="D10" s="466">
        <v>226611</v>
      </c>
      <c r="E10" s="466">
        <v>226537</v>
      </c>
      <c r="F10" s="466">
        <v>226934</v>
      </c>
      <c r="G10" s="466">
        <v>227331</v>
      </c>
      <c r="H10" s="466">
        <v>227647</v>
      </c>
      <c r="I10" s="466">
        <v>227289</v>
      </c>
      <c r="J10" s="466">
        <v>226778</v>
      </c>
      <c r="K10" s="466">
        <v>228539</v>
      </c>
      <c r="L10" s="466">
        <v>228180</v>
      </c>
      <c r="M10" s="466">
        <v>228856</v>
      </c>
      <c r="N10" s="466">
        <v>227946</v>
      </c>
      <c r="O10" s="466">
        <f>AVERAGE(C10:N10)</f>
        <v>227346.16666666666</v>
      </c>
      <c r="P10" s="631">
        <f>SUM(C10:N10)</f>
        <v>2728154</v>
      </c>
    </row>
    <row r="11" spans="1:16">
      <c r="A11" s="18" t="s">
        <v>546</v>
      </c>
      <c r="B11" s="18"/>
      <c r="C11" s="466">
        <v>775</v>
      </c>
      <c r="D11" s="466">
        <v>794</v>
      </c>
      <c r="E11" s="466">
        <v>794</v>
      </c>
      <c r="F11" s="466">
        <v>811</v>
      </c>
      <c r="G11" s="466">
        <v>795</v>
      </c>
      <c r="H11" s="466">
        <v>821</v>
      </c>
      <c r="I11" s="466">
        <v>845</v>
      </c>
      <c r="J11" s="466">
        <v>847</v>
      </c>
      <c r="K11" s="466">
        <v>870</v>
      </c>
      <c r="L11" s="466">
        <v>888</v>
      </c>
      <c r="M11" s="466">
        <v>888</v>
      </c>
      <c r="N11" s="466">
        <v>890</v>
      </c>
      <c r="O11" s="466">
        <f t="shared" ref="O11:O34" si="0">AVERAGE(C11:N11)</f>
        <v>834.83333333333337</v>
      </c>
      <c r="P11" s="631">
        <f t="shared" ref="P11:P34" si="1">SUM(C11:N11)</f>
        <v>10018</v>
      </c>
    </row>
    <row r="12" spans="1:16">
      <c r="A12" s="18" t="s">
        <v>547</v>
      </c>
      <c r="B12" s="18"/>
      <c r="C12" s="466">
        <v>23830</v>
      </c>
      <c r="D12" s="466">
        <v>23831</v>
      </c>
      <c r="E12" s="466">
        <v>23900</v>
      </c>
      <c r="F12" s="466">
        <v>24031</v>
      </c>
      <c r="G12" s="466">
        <v>23958</v>
      </c>
      <c r="H12" s="466">
        <v>23859</v>
      </c>
      <c r="I12" s="466">
        <v>23986</v>
      </c>
      <c r="J12" s="466">
        <v>24426</v>
      </c>
      <c r="K12" s="466">
        <v>24485</v>
      </c>
      <c r="L12" s="466">
        <v>24806</v>
      </c>
      <c r="M12" s="466">
        <v>23691</v>
      </c>
      <c r="N12" s="466">
        <v>24368</v>
      </c>
      <c r="O12" s="466">
        <f t="shared" si="0"/>
        <v>24097.583333333332</v>
      </c>
      <c r="P12" s="631">
        <f t="shared" si="1"/>
        <v>289171</v>
      </c>
    </row>
    <row r="13" spans="1:16">
      <c r="A13" s="18" t="s">
        <v>548</v>
      </c>
      <c r="B13" s="18"/>
      <c r="C13" s="466">
        <v>10460</v>
      </c>
      <c r="D13" s="466">
        <v>10487</v>
      </c>
      <c r="E13" s="466">
        <v>10502</v>
      </c>
      <c r="F13" s="466">
        <v>10573</v>
      </c>
      <c r="G13" s="466">
        <v>10503</v>
      </c>
      <c r="H13" s="466">
        <v>10317</v>
      </c>
      <c r="I13" s="466">
        <v>10591</v>
      </c>
      <c r="J13" s="466">
        <v>11097</v>
      </c>
      <c r="K13" s="466">
        <v>10672</v>
      </c>
      <c r="L13" s="466">
        <v>11101</v>
      </c>
      <c r="M13" s="466">
        <v>10500</v>
      </c>
      <c r="N13" s="466">
        <v>10763</v>
      </c>
      <c r="O13" s="466">
        <f t="shared" si="0"/>
        <v>10630.5</v>
      </c>
      <c r="P13" s="631">
        <f t="shared" si="1"/>
        <v>127566</v>
      </c>
    </row>
    <row r="14" spans="1:16" s="554" customFormat="1">
      <c r="A14" s="18">
        <v>13</v>
      </c>
      <c r="B14" s="18"/>
      <c r="C14" s="466">
        <v>8</v>
      </c>
      <c r="D14" s="466">
        <v>8</v>
      </c>
      <c r="E14" s="466">
        <v>11</v>
      </c>
      <c r="F14" s="466">
        <v>11</v>
      </c>
      <c r="G14" s="466">
        <v>11</v>
      </c>
      <c r="H14" s="466">
        <v>12</v>
      </c>
      <c r="I14" s="466">
        <v>13</v>
      </c>
      <c r="J14" s="466">
        <v>12</v>
      </c>
      <c r="K14" s="466">
        <v>14</v>
      </c>
      <c r="L14" s="466">
        <v>13</v>
      </c>
      <c r="M14" s="466">
        <v>20</v>
      </c>
      <c r="N14" s="466">
        <v>19</v>
      </c>
      <c r="O14" s="466">
        <f t="shared" si="0"/>
        <v>12.666666666666666</v>
      </c>
      <c r="P14" s="631">
        <f t="shared" si="1"/>
        <v>152</v>
      </c>
    </row>
    <row r="15" spans="1:16">
      <c r="A15" s="18" t="s">
        <v>550</v>
      </c>
      <c r="B15" s="18"/>
      <c r="C15" s="466">
        <v>1655</v>
      </c>
      <c r="D15" s="466">
        <v>1650</v>
      </c>
      <c r="E15" s="466">
        <v>1661</v>
      </c>
      <c r="F15" s="466">
        <v>1667</v>
      </c>
      <c r="G15" s="466">
        <v>1622</v>
      </c>
      <c r="H15" s="466">
        <v>1620</v>
      </c>
      <c r="I15" s="466">
        <v>1657</v>
      </c>
      <c r="J15" s="466">
        <v>1664</v>
      </c>
      <c r="K15" s="466">
        <v>1684</v>
      </c>
      <c r="L15" s="466">
        <v>1725</v>
      </c>
      <c r="M15" s="466">
        <v>1618</v>
      </c>
      <c r="N15" s="466">
        <v>1663</v>
      </c>
      <c r="O15" s="466">
        <f t="shared" si="0"/>
        <v>1657.1666666666667</v>
      </c>
      <c r="P15" s="631">
        <f t="shared" si="1"/>
        <v>19886</v>
      </c>
    </row>
    <row r="16" spans="1:16">
      <c r="A16" s="18" t="s">
        <v>551</v>
      </c>
      <c r="B16" s="18"/>
      <c r="C16" s="466">
        <v>44</v>
      </c>
      <c r="D16" s="466">
        <v>44</v>
      </c>
      <c r="E16" s="466">
        <v>44</v>
      </c>
      <c r="F16" s="466">
        <v>44</v>
      </c>
      <c r="G16" s="466">
        <v>42</v>
      </c>
      <c r="H16" s="466">
        <v>41</v>
      </c>
      <c r="I16" s="466">
        <v>44</v>
      </c>
      <c r="J16" s="466">
        <v>48</v>
      </c>
      <c r="K16" s="466">
        <v>39</v>
      </c>
      <c r="L16" s="466">
        <v>43</v>
      </c>
      <c r="M16" s="466">
        <v>48</v>
      </c>
      <c r="N16" s="466">
        <v>43</v>
      </c>
      <c r="O16" s="466">
        <f t="shared" si="0"/>
        <v>43.666666666666664</v>
      </c>
      <c r="P16" s="631">
        <f t="shared" si="1"/>
        <v>524</v>
      </c>
    </row>
    <row r="17" spans="1:16" s="554" customFormat="1">
      <c r="A17" s="18">
        <v>23</v>
      </c>
      <c r="B17" s="18"/>
      <c r="C17" s="466">
        <v>3</v>
      </c>
      <c r="D17" s="466">
        <v>4</v>
      </c>
      <c r="E17" s="466">
        <v>3</v>
      </c>
      <c r="F17" s="466">
        <v>3</v>
      </c>
      <c r="G17" s="466">
        <v>3</v>
      </c>
      <c r="H17" s="466">
        <v>2</v>
      </c>
      <c r="I17" s="466">
        <v>4</v>
      </c>
      <c r="J17" s="466">
        <v>0</v>
      </c>
      <c r="K17" s="466">
        <v>6</v>
      </c>
      <c r="L17" s="466">
        <v>2</v>
      </c>
      <c r="M17" s="466">
        <v>4</v>
      </c>
      <c r="N17" s="466">
        <v>3</v>
      </c>
      <c r="O17" s="466">
        <f t="shared" ref="O17" si="2">AVERAGE(C17:N17)</f>
        <v>3.0833333333333335</v>
      </c>
      <c r="P17" s="631">
        <f t="shared" ref="P17" si="3">SUM(C17:N17)</f>
        <v>37</v>
      </c>
    </row>
    <row r="18" spans="1:16">
      <c r="A18" s="18" t="s">
        <v>552</v>
      </c>
      <c r="B18" s="18"/>
      <c r="C18" s="466">
        <v>21</v>
      </c>
      <c r="D18" s="466">
        <v>21</v>
      </c>
      <c r="E18" s="466">
        <v>21</v>
      </c>
      <c r="F18" s="466">
        <v>21</v>
      </c>
      <c r="G18" s="466">
        <v>21</v>
      </c>
      <c r="H18" s="466">
        <v>21</v>
      </c>
      <c r="I18" s="466">
        <v>40</v>
      </c>
      <c r="J18" s="466">
        <v>2</v>
      </c>
      <c r="K18" s="466">
        <v>21</v>
      </c>
      <c r="L18" s="466">
        <v>21</v>
      </c>
      <c r="M18" s="466">
        <v>21</v>
      </c>
      <c r="N18" s="466">
        <v>21</v>
      </c>
      <c r="O18" s="466">
        <f t="shared" si="0"/>
        <v>21</v>
      </c>
      <c r="P18" s="631">
        <f t="shared" si="1"/>
        <v>252</v>
      </c>
    </row>
    <row r="19" spans="1:16" s="554" customFormat="1">
      <c r="A19" s="18" t="s">
        <v>753</v>
      </c>
      <c r="B19" s="18"/>
      <c r="C19" s="466">
        <v>1</v>
      </c>
      <c r="D19" s="466">
        <v>1</v>
      </c>
      <c r="E19" s="466">
        <v>1</v>
      </c>
      <c r="F19" s="466">
        <v>1</v>
      </c>
      <c r="G19" s="466">
        <v>1</v>
      </c>
      <c r="H19" s="466">
        <v>1</v>
      </c>
      <c r="I19" s="466">
        <v>1</v>
      </c>
      <c r="J19" s="466">
        <v>1</v>
      </c>
      <c r="K19" s="466">
        <v>1</v>
      </c>
      <c r="L19" s="466">
        <v>1</v>
      </c>
      <c r="M19" s="466">
        <v>1</v>
      </c>
      <c r="N19" s="466">
        <v>1</v>
      </c>
      <c r="O19" s="466">
        <f t="shared" ref="O19" si="4">AVERAGE(C19:N19)</f>
        <v>1</v>
      </c>
      <c r="P19" s="631">
        <f t="shared" ref="P19" si="5">SUM(C19:N19)</f>
        <v>12</v>
      </c>
    </row>
    <row r="20" spans="1:16">
      <c r="A20" s="18" t="s">
        <v>553</v>
      </c>
      <c r="B20" s="18"/>
      <c r="C20" s="466">
        <v>56</v>
      </c>
      <c r="D20" s="466">
        <v>55</v>
      </c>
      <c r="E20" s="466">
        <v>58</v>
      </c>
      <c r="F20" s="466">
        <v>54</v>
      </c>
      <c r="G20" s="466">
        <v>58</v>
      </c>
      <c r="H20" s="466">
        <v>55</v>
      </c>
      <c r="I20" s="466">
        <v>54</v>
      </c>
      <c r="J20" s="466">
        <v>58</v>
      </c>
      <c r="K20" s="466">
        <v>57</v>
      </c>
      <c r="L20" s="466">
        <v>56</v>
      </c>
      <c r="M20" s="466">
        <v>56</v>
      </c>
      <c r="N20" s="466">
        <v>57</v>
      </c>
      <c r="O20" s="466">
        <f t="shared" si="0"/>
        <v>56.166666666666664</v>
      </c>
      <c r="P20" s="631">
        <f t="shared" si="1"/>
        <v>674</v>
      </c>
    </row>
    <row r="21" spans="1:16">
      <c r="A21" s="18" t="s">
        <v>554</v>
      </c>
      <c r="B21" s="18"/>
      <c r="C21" s="466">
        <v>1223</v>
      </c>
      <c r="D21" s="466">
        <v>1193</v>
      </c>
      <c r="E21" s="466">
        <v>1221</v>
      </c>
      <c r="F21" s="466">
        <v>1235</v>
      </c>
      <c r="G21" s="466">
        <v>1225</v>
      </c>
      <c r="H21" s="466">
        <v>1304</v>
      </c>
      <c r="I21" s="466">
        <v>1175</v>
      </c>
      <c r="J21" s="466">
        <v>1209</v>
      </c>
      <c r="K21" s="466">
        <v>1271</v>
      </c>
      <c r="L21" s="466">
        <v>1193</v>
      </c>
      <c r="M21" s="466">
        <v>1343</v>
      </c>
      <c r="N21" s="466">
        <v>1243</v>
      </c>
      <c r="O21" s="466">
        <f t="shared" si="0"/>
        <v>1236.25</v>
      </c>
      <c r="P21" s="631">
        <f t="shared" si="1"/>
        <v>14835</v>
      </c>
    </row>
    <row r="22" spans="1:16">
      <c r="A22" s="18" t="s">
        <v>555</v>
      </c>
      <c r="B22" s="18"/>
      <c r="C22" s="466">
        <v>1235</v>
      </c>
      <c r="D22" s="466">
        <v>1257</v>
      </c>
      <c r="E22" s="466">
        <v>1253</v>
      </c>
      <c r="F22" s="466">
        <v>1260</v>
      </c>
      <c r="G22" s="466">
        <v>1257</v>
      </c>
      <c r="H22" s="466">
        <v>1218</v>
      </c>
      <c r="I22" s="466">
        <v>1254</v>
      </c>
      <c r="J22" s="466">
        <v>1288</v>
      </c>
      <c r="K22" s="466">
        <v>1267</v>
      </c>
      <c r="L22" s="466">
        <v>1274</v>
      </c>
      <c r="M22" s="466">
        <v>1278</v>
      </c>
      <c r="N22" s="466">
        <v>1277</v>
      </c>
      <c r="O22" s="466">
        <f t="shared" si="0"/>
        <v>1259.8333333333333</v>
      </c>
      <c r="P22" s="631">
        <f t="shared" si="1"/>
        <v>15118</v>
      </c>
    </row>
    <row r="23" spans="1:16">
      <c r="A23" s="18" t="s">
        <v>556</v>
      </c>
      <c r="B23" s="18"/>
      <c r="C23" s="466">
        <v>3</v>
      </c>
      <c r="D23" s="466">
        <v>3</v>
      </c>
      <c r="E23" s="466">
        <v>3</v>
      </c>
      <c r="F23" s="466">
        <v>3</v>
      </c>
      <c r="G23" s="466">
        <v>3</v>
      </c>
      <c r="H23" s="466">
        <v>1</v>
      </c>
      <c r="I23" s="466">
        <v>-1</v>
      </c>
      <c r="J23" s="466">
        <v>0</v>
      </c>
      <c r="K23" s="466">
        <v>0</v>
      </c>
      <c r="L23" s="466">
        <v>0</v>
      </c>
      <c r="M23" s="466">
        <v>0</v>
      </c>
      <c r="N23" s="466">
        <v>0</v>
      </c>
      <c r="O23" s="466">
        <f t="shared" si="0"/>
        <v>1.25</v>
      </c>
      <c r="P23" s="631">
        <f t="shared" si="1"/>
        <v>15</v>
      </c>
    </row>
    <row r="24" spans="1:16">
      <c r="A24" s="18" t="s">
        <v>557</v>
      </c>
      <c r="B24" s="18"/>
      <c r="C24" s="466">
        <v>424</v>
      </c>
      <c r="D24" s="466">
        <v>424</v>
      </c>
      <c r="E24" s="466">
        <v>424</v>
      </c>
      <c r="F24" s="466">
        <v>424</v>
      </c>
      <c r="G24" s="466">
        <v>429</v>
      </c>
      <c r="H24" s="466">
        <v>427</v>
      </c>
      <c r="I24" s="466">
        <v>426</v>
      </c>
      <c r="J24" s="466">
        <v>256</v>
      </c>
      <c r="K24" s="466">
        <v>606</v>
      </c>
      <c r="L24" s="466">
        <v>383</v>
      </c>
      <c r="M24" s="466">
        <v>474</v>
      </c>
      <c r="N24" s="466">
        <v>429</v>
      </c>
      <c r="O24" s="466">
        <f t="shared" si="0"/>
        <v>427.16666666666669</v>
      </c>
      <c r="P24" s="631">
        <f t="shared" si="1"/>
        <v>5126</v>
      </c>
    </row>
    <row r="25" spans="1:16">
      <c r="A25" s="18" t="s">
        <v>558</v>
      </c>
      <c r="B25" s="18"/>
      <c r="C25" s="466">
        <v>10</v>
      </c>
      <c r="D25" s="466">
        <v>11</v>
      </c>
      <c r="E25" s="466">
        <v>11</v>
      </c>
      <c r="F25" s="466">
        <v>11</v>
      </c>
      <c r="G25" s="466">
        <v>11</v>
      </c>
      <c r="H25" s="466">
        <v>11</v>
      </c>
      <c r="I25" s="466">
        <v>11</v>
      </c>
      <c r="J25" s="466">
        <v>6</v>
      </c>
      <c r="K25" s="466">
        <v>16</v>
      </c>
      <c r="L25" s="466">
        <v>10</v>
      </c>
      <c r="M25" s="466">
        <v>12</v>
      </c>
      <c r="N25" s="466">
        <v>11</v>
      </c>
      <c r="O25" s="466">
        <f t="shared" si="0"/>
        <v>10.916666666666666</v>
      </c>
      <c r="P25" s="631">
        <f t="shared" si="1"/>
        <v>131</v>
      </c>
    </row>
    <row r="26" spans="1:16">
      <c r="A26" s="18" t="s">
        <v>559</v>
      </c>
      <c r="B26" s="18"/>
      <c r="C26" s="466">
        <v>8</v>
      </c>
      <c r="D26" s="466">
        <v>8</v>
      </c>
      <c r="E26" s="466">
        <v>8</v>
      </c>
      <c r="F26" s="466">
        <v>8</v>
      </c>
      <c r="G26" s="466">
        <v>8</v>
      </c>
      <c r="H26" s="466">
        <v>8</v>
      </c>
      <c r="I26" s="466">
        <v>8</v>
      </c>
      <c r="J26" s="466">
        <v>8</v>
      </c>
      <c r="K26" s="466">
        <v>8</v>
      </c>
      <c r="L26" s="466">
        <v>8</v>
      </c>
      <c r="M26" s="466">
        <v>8</v>
      </c>
      <c r="N26" s="466">
        <v>8</v>
      </c>
      <c r="O26" s="466">
        <f t="shared" si="0"/>
        <v>8</v>
      </c>
      <c r="P26" s="631">
        <f t="shared" si="1"/>
        <v>96</v>
      </c>
    </row>
    <row r="27" spans="1:16">
      <c r="A27" s="18" t="s">
        <v>560</v>
      </c>
      <c r="B27" s="18"/>
      <c r="C27" s="466">
        <v>51</v>
      </c>
      <c r="D27" s="466">
        <v>51</v>
      </c>
      <c r="E27" s="466">
        <v>51</v>
      </c>
      <c r="F27" s="466">
        <v>51</v>
      </c>
      <c r="G27" s="466">
        <v>51</v>
      </c>
      <c r="H27" s="466">
        <v>51</v>
      </c>
      <c r="I27" s="466">
        <v>51</v>
      </c>
      <c r="J27" s="466">
        <v>47</v>
      </c>
      <c r="K27" s="466">
        <v>56</v>
      </c>
      <c r="L27" s="466">
        <v>49</v>
      </c>
      <c r="M27" s="466">
        <v>55</v>
      </c>
      <c r="N27" s="466">
        <v>52</v>
      </c>
      <c r="O27" s="466">
        <f t="shared" si="0"/>
        <v>51.333333333333336</v>
      </c>
      <c r="P27" s="631">
        <f t="shared" si="1"/>
        <v>616</v>
      </c>
    </row>
    <row r="28" spans="1:16">
      <c r="A28" s="18" t="s">
        <v>561</v>
      </c>
      <c r="B28" s="18"/>
      <c r="C28" s="466">
        <v>0</v>
      </c>
      <c r="D28" s="466">
        <v>0</v>
      </c>
      <c r="E28" s="466">
        <v>0</v>
      </c>
      <c r="F28" s="466">
        <v>0</v>
      </c>
      <c r="G28" s="466">
        <v>0</v>
      </c>
      <c r="H28" s="466">
        <v>0</v>
      </c>
      <c r="I28" s="466">
        <v>0</v>
      </c>
      <c r="J28" s="466">
        <v>0</v>
      </c>
      <c r="K28" s="466">
        <v>0</v>
      </c>
      <c r="L28" s="466">
        <v>0</v>
      </c>
      <c r="M28" s="466">
        <v>0</v>
      </c>
      <c r="N28" s="466">
        <v>0</v>
      </c>
      <c r="O28" s="466">
        <f t="shared" si="0"/>
        <v>0</v>
      </c>
      <c r="P28" s="631">
        <f t="shared" si="1"/>
        <v>0</v>
      </c>
    </row>
    <row r="29" spans="1:16">
      <c r="A29" s="18" t="s">
        <v>562</v>
      </c>
      <c r="B29" s="18"/>
      <c r="C29" s="466">
        <v>0</v>
      </c>
      <c r="D29" s="466">
        <v>0</v>
      </c>
      <c r="E29" s="466">
        <v>0</v>
      </c>
      <c r="F29" s="466">
        <v>0</v>
      </c>
      <c r="G29" s="466">
        <v>0</v>
      </c>
      <c r="H29" s="466">
        <v>0</v>
      </c>
      <c r="I29" s="466">
        <v>0</v>
      </c>
      <c r="J29" s="466">
        <v>0</v>
      </c>
      <c r="K29" s="466">
        <v>0</v>
      </c>
      <c r="L29" s="466">
        <v>0</v>
      </c>
      <c r="M29" s="466">
        <v>0</v>
      </c>
      <c r="N29" s="466">
        <v>0</v>
      </c>
      <c r="O29" s="466">
        <f t="shared" si="0"/>
        <v>0</v>
      </c>
      <c r="P29" s="631">
        <f t="shared" si="1"/>
        <v>0</v>
      </c>
    </row>
    <row r="30" spans="1:16">
      <c r="A30" s="18" t="s">
        <v>563</v>
      </c>
      <c r="B30" s="18"/>
      <c r="C30" s="466">
        <v>0</v>
      </c>
      <c r="D30" s="466">
        <v>0</v>
      </c>
      <c r="E30" s="466">
        <v>0</v>
      </c>
      <c r="F30" s="466">
        <v>0</v>
      </c>
      <c r="G30" s="466">
        <v>0</v>
      </c>
      <c r="H30" s="466">
        <v>0</v>
      </c>
      <c r="I30" s="466">
        <v>0</v>
      </c>
      <c r="J30" s="466">
        <v>0</v>
      </c>
      <c r="K30" s="466">
        <v>0</v>
      </c>
      <c r="L30" s="466">
        <v>0</v>
      </c>
      <c r="M30" s="466">
        <v>0</v>
      </c>
      <c r="N30" s="466">
        <v>0</v>
      </c>
      <c r="O30" s="466">
        <f t="shared" si="0"/>
        <v>0</v>
      </c>
      <c r="P30" s="631">
        <f t="shared" si="1"/>
        <v>0</v>
      </c>
    </row>
    <row r="31" spans="1:16">
      <c r="A31" s="18" t="s">
        <v>564</v>
      </c>
      <c r="B31" s="18"/>
      <c r="C31" s="466">
        <v>0</v>
      </c>
      <c r="D31" s="466">
        <v>0</v>
      </c>
      <c r="E31" s="466">
        <v>0</v>
      </c>
      <c r="F31" s="466">
        <v>0</v>
      </c>
      <c r="G31" s="466">
        <v>0</v>
      </c>
      <c r="H31" s="466">
        <v>0</v>
      </c>
      <c r="I31" s="466">
        <v>0</v>
      </c>
      <c r="J31" s="466">
        <v>0</v>
      </c>
      <c r="K31" s="466">
        <v>0</v>
      </c>
      <c r="L31" s="466">
        <v>0</v>
      </c>
      <c r="M31" s="466">
        <v>0</v>
      </c>
      <c r="N31" s="466">
        <v>0</v>
      </c>
      <c r="O31" s="466">
        <f t="shared" si="0"/>
        <v>0</v>
      </c>
      <c r="P31" s="631">
        <f t="shared" si="1"/>
        <v>0</v>
      </c>
    </row>
    <row r="32" spans="1:16">
      <c r="A32" s="18" t="s">
        <v>565</v>
      </c>
      <c r="B32" s="18"/>
      <c r="C32" s="466">
        <v>0</v>
      </c>
      <c r="D32" s="466">
        <v>0</v>
      </c>
      <c r="E32" s="466">
        <v>0</v>
      </c>
      <c r="F32" s="466">
        <v>0</v>
      </c>
      <c r="G32" s="466">
        <v>0</v>
      </c>
      <c r="H32" s="466">
        <v>0</v>
      </c>
      <c r="I32" s="466">
        <v>0</v>
      </c>
      <c r="J32" s="466">
        <v>0</v>
      </c>
      <c r="K32" s="466">
        <v>0</v>
      </c>
      <c r="L32" s="466">
        <v>0</v>
      </c>
      <c r="M32" s="466">
        <v>0</v>
      </c>
      <c r="N32" s="466">
        <v>0</v>
      </c>
      <c r="O32" s="466">
        <f t="shared" si="0"/>
        <v>0</v>
      </c>
      <c r="P32" s="631">
        <f t="shared" si="1"/>
        <v>0</v>
      </c>
    </row>
    <row r="33" spans="1:16">
      <c r="A33" s="18" t="s">
        <v>566</v>
      </c>
      <c r="B33" s="18"/>
      <c r="C33" s="466">
        <v>0</v>
      </c>
      <c r="D33" s="466">
        <v>0</v>
      </c>
      <c r="E33" s="466">
        <v>0</v>
      </c>
      <c r="F33" s="466">
        <v>0</v>
      </c>
      <c r="G33" s="466">
        <v>0</v>
      </c>
      <c r="H33" s="466">
        <v>0</v>
      </c>
      <c r="I33" s="466">
        <v>0</v>
      </c>
      <c r="J33" s="466">
        <v>0</v>
      </c>
      <c r="K33" s="466">
        <v>0</v>
      </c>
      <c r="L33" s="466">
        <v>0</v>
      </c>
      <c r="M33" s="466">
        <v>0</v>
      </c>
      <c r="N33" s="466">
        <v>0</v>
      </c>
      <c r="O33" s="466">
        <f t="shared" si="0"/>
        <v>0</v>
      </c>
      <c r="P33" s="631">
        <f t="shared" si="1"/>
        <v>0</v>
      </c>
    </row>
    <row r="34" spans="1:16">
      <c r="A34" s="18" t="s">
        <v>567</v>
      </c>
      <c r="B34" s="18"/>
      <c r="C34" s="466">
        <v>0</v>
      </c>
      <c r="D34" s="466">
        <v>0</v>
      </c>
      <c r="E34" s="466">
        <v>0</v>
      </c>
      <c r="F34" s="466">
        <v>0</v>
      </c>
      <c r="G34" s="466">
        <v>0</v>
      </c>
      <c r="H34" s="466">
        <v>0</v>
      </c>
      <c r="I34" s="466">
        <v>0</v>
      </c>
      <c r="J34" s="466">
        <v>0</v>
      </c>
      <c r="K34" s="466">
        <v>0</v>
      </c>
      <c r="L34" s="466">
        <v>0</v>
      </c>
      <c r="M34" s="466">
        <v>0</v>
      </c>
      <c r="N34" s="466">
        <v>0</v>
      </c>
      <c r="O34" s="466">
        <f t="shared" si="0"/>
        <v>0</v>
      </c>
      <c r="P34" s="631">
        <f t="shared" si="1"/>
        <v>0</v>
      </c>
    </row>
    <row r="35" spans="1:16">
      <c r="A35" s="18" t="s">
        <v>429</v>
      </c>
      <c r="B35" s="18"/>
      <c r="C35" s="466">
        <f>SUM(C10:C34)</f>
        <v>265313</v>
      </c>
      <c r="D35" s="466">
        <f t="shared" ref="D35:N35" si="6">SUM(D10:D34)</f>
        <v>266453</v>
      </c>
      <c r="E35" s="466">
        <f t="shared" si="6"/>
        <v>266503</v>
      </c>
      <c r="F35" s="466">
        <f t="shared" si="6"/>
        <v>267142</v>
      </c>
      <c r="G35" s="466">
        <f t="shared" si="6"/>
        <v>267329</v>
      </c>
      <c r="H35" s="466">
        <f t="shared" si="6"/>
        <v>267416</v>
      </c>
      <c r="I35" s="466">
        <f t="shared" si="6"/>
        <v>267448</v>
      </c>
      <c r="J35" s="466">
        <f t="shared" si="6"/>
        <v>267747</v>
      </c>
      <c r="K35" s="466">
        <f t="shared" si="6"/>
        <v>269612</v>
      </c>
      <c r="L35" s="466">
        <f t="shared" si="6"/>
        <v>269753</v>
      </c>
      <c r="M35" s="466">
        <f t="shared" si="6"/>
        <v>268873</v>
      </c>
      <c r="N35" s="466">
        <f t="shared" si="6"/>
        <v>268794</v>
      </c>
      <c r="O35" s="466"/>
      <c r="P35" s="466">
        <f>SUM(P10:P34)</f>
        <v>3212383</v>
      </c>
    </row>
    <row r="36" spans="1:16">
      <c r="A36" s="18"/>
      <c r="B36" s="18"/>
      <c r="C36" s="18"/>
      <c r="D36" s="18"/>
      <c r="E36" s="18"/>
      <c r="F36" s="18"/>
      <c r="G36" s="18"/>
      <c r="H36" s="18"/>
      <c r="I36" s="18"/>
      <c r="J36" s="18"/>
      <c r="K36" s="18"/>
      <c r="L36" s="18"/>
      <c r="M36" s="18"/>
      <c r="N36" s="18"/>
      <c r="O36" s="18"/>
      <c r="P36" s="18"/>
    </row>
    <row r="37" spans="1:16">
      <c r="A37" s="18"/>
      <c r="B37" s="18"/>
      <c r="C37" s="18"/>
      <c r="D37" s="18"/>
      <c r="E37" s="18"/>
      <c r="F37" s="18"/>
      <c r="G37" s="18"/>
      <c r="H37" s="18"/>
      <c r="I37" s="18"/>
      <c r="J37" s="18"/>
      <c r="K37" s="18"/>
      <c r="L37" s="18"/>
      <c r="M37" s="18"/>
      <c r="N37" s="18"/>
      <c r="O37" s="18"/>
      <c r="P37" s="18"/>
    </row>
    <row r="38" spans="1:16">
      <c r="A38" s="18" t="s">
        <v>595</v>
      </c>
      <c r="B38" s="83"/>
      <c r="C38" s="632"/>
      <c r="D38" s="633"/>
      <c r="E38" s="633"/>
      <c r="F38" s="466"/>
      <c r="G38" s="633"/>
      <c r="H38" s="633"/>
      <c r="I38" s="633"/>
      <c r="J38" s="633"/>
      <c r="K38" s="633"/>
      <c r="L38" s="633"/>
      <c r="M38" s="466"/>
      <c r="N38" s="466"/>
      <c r="O38" s="634" t="s">
        <v>569</v>
      </c>
      <c r="P38" s="633" t="s">
        <v>64</v>
      </c>
    </row>
    <row r="39" spans="1:16" s="489" customFormat="1">
      <c r="A39" s="18"/>
      <c r="B39" s="367" t="s">
        <v>568</v>
      </c>
      <c r="C39" s="635">
        <f>C10+C11</f>
        <v>226281</v>
      </c>
      <c r="D39" s="635">
        <f t="shared" ref="D39:N39" si="7">D10+D11</f>
        <v>227405</v>
      </c>
      <c r="E39" s="635">
        <f t="shared" si="7"/>
        <v>227331</v>
      </c>
      <c r="F39" s="635">
        <f t="shared" si="7"/>
        <v>227745</v>
      </c>
      <c r="G39" s="635">
        <f t="shared" si="7"/>
        <v>228126</v>
      </c>
      <c r="H39" s="635">
        <f t="shared" si="7"/>
        <v>228468</v>
      </c>
      <c r="I39" s="635">
        <f t="shared" si="7"/>
        <v>228134</v>
      </c>
      <c r="J39" s="635">
        <f t="shared" si="7"/>
        <v>227625</v>
      </c>
      <c r="K39" s="635">
        <f t="shared" si="7"/>
        <v>229409</v>
      </c>
      <c r="L39" s="635">
        <f t="shared" si="7"/>
        <v>229068</v>
      </c>
      <c r="M39" s="635">
        <f t="shared" si="7"/>
        <v>229744</v>
      </c>
      <c r="N39" s="635">
        <f t="shared" si="7"/>
        <v>228836</v>
      </c>
      <c r="O39" s="633">
        <f t="shared" ref="O39:O47" si="8">AVERAGE(C39:N39)</f>
        <v>228181</v>
      </c>
      <c r="P39" s="466">
        <f t="shared" ref="P39:P48" si="9">SUM(C39:N39)</f>
        <v>2738172</v>
      </c>
    </row>
    <row r="40" spans="1:16" s="489" customFormat="1">
      <c r="A40" s="18"/>
      <c r="B40" s="367" t="s">
        <v>435</v>
      </c>
      <c r="C40" s="635">
        <f>C12+C13</f>
        <v>34290</v>
      </c>
      <c r="D40" s="635">
        <f t="shared" ref="D40:N40" si="10">D12+D13</f>
        <v>34318</v>
      </c>
      <c r="E40" s="635">
        <f t="shared" si="10"/>
        <v>34402</v>
      </c>
      <c r="F40" s="635">
        <f t="shared" si="10"/>
        <v>34604</v>
      </c>
      <c r="G40" s="635">
        <f t="shared" si="10"/>
        <v>34461</v>
      </c>
      <c r="H40" s="635">
        <f t="shared" si="10"/>
        <v>34176</v>
      </c>
      <c r="I40" s="635">
        <f t="shared" si="10"/>
        <v>34577</v>
      </c>
      <c r="J40" s="635">
        <f t="shared" si="10"/>
        <v>35523</v>
      </c>
      <c r="K40" s="635">
        <f t="shared" si="10"/>
        <v>35157</v>
      </c>
      <c r="L40" s="635">
        <f t="shared" si="10"/>
        <v>35907</v>
      </c>
      <c r="M40" s="635">
        <f t="shared" si="10"/>
        <v>34191</v>
      </c>
      <c r="N40" s="635">
        <f t="shared" si="10"/>
        <v>35131</v>
      </c>
      <c r="O40" s="633">
        <f t="shared" si="8"/>
        <v>34728.083333333336</v>
      </c>
      <c r="P40" s="466">
        <f t="shared" si="9"/>
        <v>416737</v>
      </c>
    </row>
    <row r="41" spans="1:16" s="554" customFormat="1">
      <c r="A41" s="18"/>
      <c r="B41" s="367">
        <v>13</v>
      </c>
      <c r="C41" s="635">
        <f>C14</f>
        <v>8</v>
      </c>
      <c r="D41" s="635">
        <f t="shared" ref="D41:N41" si="11">D14</f>
        <v>8</v>
      </c>
      <c r="E41" s="635">
        <f t="shared" si="11"/>
        <v>11</v>
      </c>
      <c r="F41" s="635">
        <f t="shared" si="11"/>
        <v>11</v>
      </c>
      <c r="G41" s="635">
        <f t="shared" si="11"/>
        <v>11</v>
      </c>
      <c r="H41" s="635">
        <f t="shared" si="11"/>
        <v>12</v>
      </c>
      <c r="I41" s="635">
        <f t="shared" si="11"/>
        <v>13</v>
      </c>
      <c r="J41" s="635">
        <f t="shared" si="11"/>
        <v>12</v>
      </c>
      <c r="K41" s="635">
        <f t="shared" si="11"/>
        <v>14</v>
      </c>
      <c r="L41" s="635">
        <f t="shared" si="11"/>
        <v>13</v>
      </c>
      <c r="M41" s="635">
        <f t="shared" si="11"/>
        <v>20</v>
      </c>
      <c r="N41" s="635">
        <f t="shared" si="11"/>
        <v>19</v>
      </c>
      <c r="O41" s="633">
        <f t="shared" si="8"/>
        <v>12.666666666666666</v>
      </c>
      <c r="P41" s="466">
        <f t="shared" si="9"/>
        <v>152</v>
      </c>
    </row>
    <row r="42" spans="1:16" s="489" customFormat="1">
      <c r="A42" s="18"/>
      <c r="B42" s="367" t="s">
        <v>436</v>
      </c>
      <c r="C42" s="635">
        <f>C15+C16</f>
        <v>1699</v>
      </c>
      <c r="D42" s="635">
        <f t="shared" ref="D42:N42" si="12">D15+D16</f>
        <v>1694</v>
      </c>
      <c r="E42" s="635">
        <f t="shared" si="12"/>
        <v>1705</v>
      </c>
      <c r="F42" s="635">
        <f t="shared" si="12"/>
        <v>1711</v>
      </c>
      <c r="G42" s="635">
        <f t="shared" si="12"/>
        <v>1664</v>
      </c>
      <c r="H42" s="635">
        <f t="shared" si="12"/>
        <v>1661</v>
      </c>
      <c r="I42" s="635">
        <f t="shared" si="12"/>
        <v>1701</v>
      </c>
      <c r="J42" s="635">
        <f t="shared" si="12"/>
        <v>1712</v>
      </c>
      <c r="K42" s="635">
        <f t="shared" si="12"/>
        <v>1723</v>
      </c>
      <c r="L42" s="635">
        <f t="shared" si="12"/>
        <v>1768</v>
      </c>
      <c r="M42" s="635">
        <f t="shared" si="12"/>
        <v>1666</v>
      </c>
      <c r="N42" s="635">
        <f t="shared" si="12"/>
        <v>1706</v>
      </c>
      <c r="O42" s="633">
        <f t="shared" si="8"/>
        <v>1700.8333333333333</v>
      </c>
      <c r="P42" s="466">
        <f t="shared" si="9"/>
        <v>20410</v>
      </c>
    </row>
    <row r="43" spans="1:16" s="554" customFormat="1">
      <c r="A43" s="18"/>
      <c r="B43" s="367">
        <v>23</v>
      </c>
      <c r="C43" s="635">
        <f>C17</f>
        <v>3</v>
      </c>
      <c r="D43" s="635">
        <f t="shared" ref="D43:N43" si="13">D17</f>
        <v>4</v>
      </c>
      <c r="E43" s="635">
        <f t="shared" si="13"/>
        <v>3</v>
      </c>
      <c r="F43" s="635">
        <f t="shared" si="13"/>
        <v>3</v>
      </c>
      <c r="G43" s="635">
        <f t="shared" si="13"/>
        <v>3</v>
      </c>
      <c r="H43" s="635">
        <f t="shared" si="13"/>
        <v>2</v>
      </c>
      <c r="I43" s="635">
        <f t="shared" si="13"/>
        <v>4</v>
      </c>
      <c r="J43" s="635">
        <f t="shared" si="13"/>
        <v>0</v>
      </c>
      <c r="K43" s="635">
        <f t="shared" si="13"/>
        <v>6</v>
      </c>
      <c r="L43" s="635">
        <f t="shared" si="13"/>
        <v>2</v>
      </c>
      <c r="M43" s="635">
        <f t="shared" si="13"/>
        <v>4</v>
      </c>
      <c r="N43" s="635">
        <f t="shared" si="13"/>
        <v>3</v>
      </c>
      <c r="O43" s="633">
        <f t="shared" si="8"/>
        <v>3.0833333333333335</v>
      </c>
      <c r="P43" s="466">
        <f t="shared" si="9"/>
        <v>37</v>
      </c>
    </row>
    <row r="44" spans="1:16" s="489" customFormat="1">
      <c r="A44" s="18"/>
      <c r="B44" s="367" t="s">
        <v>358</v>
      </c>
      <c r="C44" s="635">
        <f>C18</f>
        <v>21</v>
      </c>
      <c r="D44" s="635">
        <f t="shared" ref="D44:N44" si="14">D18</f>
        <v>21</v>
      </c>
      <c r="E44" s="635">
        <f t="shared" si="14"/>
        <v>21</v>
      </c>
      <c r="F44" s="635">
        <f t="shared" si="14"/>
        <v>21</v>
      </c>
      <c r="G44" s="635">
        <f t="shared" si="14"/>
        <v>21</v>
      </c>
      <c r="H44" s="635">
        <f t="shared" si="14"/>
        <v>21</v>
      </c>
      <c r="I44" s="635">
        <f t="shared" si="14"/>
        <v>40</v>
      </c>
      <c r="J44" s="635">
        <f t="shared" si="14"/>
        <v>2</v>
      </c>
      <c r="K44" s="635">
        <f t="shared" si="14"/>
        <v>21</v>
      </c>
      <c r="L44" s="635">
        <f t="shared" si="14"/>
        <v>21</v>
      </c>
      <c r="M44" s="635">
        <f t="shared" si="14"/>
        <v>21</v>
      </c>
      <c r="N44" s="635">
        <f t="shared" si="14"/>
        <v>21</v>
      </c>
      <c r="O44" s="633">
        <f t="shared" si="8"/>
        <v>21</v>
      </c>
      <c r="P44" s="466">
        <f t="shared" si="9"/>
        <v>252</v>
      </c>
    </row>
    <row r="45" spans="1:16" s="554" customFormat="1">
      <c r="A45" s="18"/>
      <c r="B45" s="367" t="s">
        <v>753</v>
      </c>
      <c r="C45" s="635">
        <f>C19</f>
        <v>1</v>
      </c>
      <c r="D45" s="635">
        <f t="shared" ref="D45:N45" si="15">D19</f>
        <v>1</v>
      </c>
      <c r="E45" s="635">
        <f t="shared" si="15"/>
        <v>1</v>
      </c>
      <c r="F45" s="635">
        <f t="shared" si="15"/>
        <v>1</v>
      </c>
      <c r="G45" s="635">
        <f t="shared" si="15"/>
        <v>1</v>
      </c>
      <c r="H45" s="635">
        <f t="shared" si="15"/>
        <v>1</v>
      </c>
      <c r="I45" s="635">
        <f t="shared" si="15"/>
        <v>1</v>
      </c>
      <c r="J45" s="635">
        <f t="shared" si="15"/>
        <v>1</v>
      </c>
      <c r="K45" s="635">
        <f t="shared" si="15"/>
        <v>1</v>
      </c>
      <c r="L45" s="635">
        <f t="shared" si="15"/>
        <v>1</v>
      </c>
      <c r="M45" s="635">
        <f t="shared" si="15"/>
        <v>1</v>
      </c>
      <c r="N45" s="635">
        <f t="shared" si="15"/>
        <v>1</v>
      </c>
      <c r="O45" s="633">
        <f t="shared" si="8"/>
        <v>1</v>
      </c>
      <c r="P45" s="466">
        <f t="shared" si="9"/>
        <v>12</v>
      </c>
    </row>
    <row r="46" spans="1:16" s="489" customFormat="1">
      <c r="A46" s="18"/>
      <c r="B46" s="367" t="s">
        <v>437</v>
      </c>
      <c r="C46" s="635">
        <f>C20+C21+C22</f>
        <v>2514</v>
      </c>
      <c r="D46" s="635">
        <f t="shared" ref="D46:N46" si="16">D20+D21+D22</f>
        <v>2505</v>
      </c>
      <c r="E46" s="635">
        <f t="shared" si="16"/>
        <v>2532</v>
      </c>
      <c r="F46" s="635">
        <f t="shared" si="16"/>
        <v>2549</v>
      </c>
      <c r="G46" s="635">
        <f t="shared" si="16"/>
        <v>2540</v>
      </c>
      <c r="H46" s="635">
        <f t="shared" si="16"/>
        <v>2577</v>
      </c>
      <c r="I46" s="635">
        <f t="shared" si="16"/>
        <v>2483</v>
      </c>
      <c r="J46" s="635">
        <f t="shared" si="16"/>
        <v>2555</v>
      </c>
      <c r="K46" s="635">
        <f t="shared" si="16"/>
        <v>2595</v>
      </c>
      <c r="L46" s="635">
        <f t="shared" si="16"/>
        <v>2523</v>
      </c>
      <c r="M46" s="635">
        <f t="shared" si="16"/>
        <v>2677</v>
      </c>
      <c r="N46" s="635">
        <f t="shared" si="16"/>
        <v>2577</v>
      </c>
      <c r="O46" s="633">
        <f t="shared" si="8"/>
        <v>2552.25</v>
      </c>
      <c r="P46" s="466">
        <f t="shared" si="9"/>
        <v>30627</v>
      </c>
    </row>
    <row r="47" spans="1:16">
      <c r="A47" s="18"/>
      <c r="B47" s="367" t="s">
        <v>438</v>
      </c>
      <c r="C47" s="635">
        <f>SUM(C23:C29)</f>
        <v>496</v>
      </c>
      <c r="D47" s="635">
        <f t="shared" ref="D47:N47" si="17">SUM(D23:D29)</f>
        <v>497</v>
      </c>
      <c r="E47" s="635">
        <f t="shared" si="17"/>
        <v>497</v>
      </c>
      <c r="F47" s="635">
        <f t="shared" si="17"/>
        <v>497</v>
      </c>
      <c r="G47" s="635">
        <f t="shared" si="17"/>
        <v>502</v>
      </c>
      <c r="H47" s="635">
        <f t="shared" si="17"/>
        <v>498</v>
      </c>
      <c r="I47" s="635">
        <f t="shared" si="17"/>
        <v>495</v>
      </c>
      <c r="J47" s="635">
        <f t="shared" si="17"/>
        <v>317</v>
      </c>
      <c r="K47" s="635">
        <f t="shared" si="17"/>
        <v>686</v>
      </c>
      <c r="L47" s="635">
        <f t="shared" si="17"/>
        <v>450</v>
      </c>
      <c r="M47" s="635">
        <f t="shared" si="17"/>
        <v>549</v>
      </c>
      <c r="N47" s="635">
        <f t="shared" si="17"/>
        <v>500</v>
      </c>
      <c r="O47" s="633">
        <f t="shared" si="8"/>
        <v>498.66666666666669</v>
      </c>
      <c r="P47" s="466">
        <f t="shared" si="9"/>
        <v>5984</v>
      </c>
    </row>
    <row r="48" spans="1:16">
      <c r="A48" s="18"/>
      <c r="B48" s="367" t="s">
        <v>64</v>
      </c>
      <c r="C48" s="635">
        <f>SUM(C39:C47)</f>
        <v>265313</v>
      </c>
      <c r="D48" s="633">
        <f t="shared" ref="D48:O48" si="18">SUM(D39:D47)</f>
        <v>266453</v>
      </c>
      <c r="E48" s="633">
        <f t="shared" si="18"/>
        <v>266503</v>
      </c>
      <c r="F48" s="633">
        <f t="shared" si="18"/>
        <v>267142</v>
      </c>
      <c r="G48" s="633">
        <f t="shared" si="18"/>
        <v>267329</v>
      </c>
      <c r="H48" s="633">
        <f t="shared" si="18"/>
        <v>267416</v>
      </c>
      <c r="I48" s="633">
        <f t="shared" si="18"/>
        <v>267448</v>
      </c>
      <c r="J48" s="633">
        <f t="shared" si="18"/>
        <v>267747</v>
      </c>
      <c r="K48" s="633">
        <f t="shared" si="18"/>
        <v>269612</v>
      </c>
      <c r="L48" s="633">
        <f t="shared" si="18"/>
        <v>269753</v>
      </c>
      <c r="M48" s="633">
        <f t="shared" si="18"/>
        <v>268873</v>
      </c>
      <c r="N48" s="633">
        <f t="shared" si="18"/>
        <v>268794</v>
      </c>
      <c r="O48" s="633">
        <f t="shared" si="18"/>
        <v>267698.58333333331</v>
      </c>
      <c r="P48" s="466">
        <f t="shared" si="9"/>
        <v>3212383</v>
      </c>
    </row>
    <row r="49" spans="1:16">
      <c r="A49" s="18"/>
      <c r="B49" s="18"/>
      <c r="C49" s="18"/>
      <c r="D49" s="18"/>
      <c r="E49" s="18"/>
      <c r="F49" s="18"/>
      <c r="G49" s="18"/>
      <c r="H49" s="18"/>
      <c r="I49" s="18"/>
      <c r="J49" s="18"/>
      <c r="K49" s="18"/>
      <c r="L49" s="18"/>
      <c r="M49" s="18"/>
      <c r="N49" s="18"/>
      <c r="O49" s="18"/>
      <c r="P49" s="18"/>
    </row>
    <row r="50" spans="1:16">
      <c r="A50" s="18"/>
      <c r="B50" s="18"/>
      <c r="C50" s="631">
        <f>C35-C48</f>
        <v>0</v>
      </c>
      <c r="D50" s="631">
        <f t="shared" ref="D50:N50" si="19">D35-D48</f>
        <v>0</v>
      </c>
      <c r="E50" s="631">
        <f t="shared" si="19"/>
        <v>0</v>
      </c>
      <c r="F50" s="631">
        <f t="shared" si="19"/>
        <v>0</v>
      </c>
      <c r="G50" s="631">
        <f t="shared" si="19"/>
        <v>0</v>
      </c>
      <c r="H50" s="631">
        <f t="shared" si="19"/>
        <v>0</v>
      </c>
      <c r="I50" s="631">
        <f t="shared" si="19"/>
        <v>0</v>
      </c>
      <c r="J50" s="631">
        <f t="shared" si="19"/>
        <v>0</v>
      </c>
      <c r="K50" s="631">
        <f t="shared" si="19"/>
        <v>0</v>
      </c>
      <c r="L50" s="631">
        <f t="shared" si="19"/>
        <v>0</v>
      </c>
      <c r="M50" s="631">
        <f t="shared" si="19"/>
        <v>0</v>
      </c>
      <c r="N50" s="631">
        <f t="shared" si="19"/>
        <v>0</v>
      </c>
      <c r="O50" s="631"/>
      <c r="P50" s="631">
        <f>P35-P48</f>
        <v>0</v>
      </c>
    </row>
    <row r="51" spans="1:16">
      <c r="A51" s="18"/>
      <c r="B51" s="18"/>
      <c r="C51" s="18"/>
      <c r="D51" s="18"/>
      <c r="E51" s="18"/>
      <c r="F51" s="18"/>
      <c r="G51" s="18"/>
      <c r="H51" s="18"/>
      <c r="I51" s="18"/>
      <c r="J51" s="18"/>
      <c r="K51" s="18"/>
      <c r="L51" s="18"/>
      <c r="M51" s="18"/>
      <c r="N51" s="18"/>
      <c r="O51" s="18"/>
      <c r="P51" s="18"/>
    </row>
    <row r="52" spans="1:16">
      <c r="A52" s="18"/>
      <c r="B52" s="18"/>
      <c r="C52" s="18"/>
      <c r="D52" s="18"/>
      <c r="E52" s="18"/>
      <c r="F52" s="18"/>
      <c r="G52" s="18"/>
      <c r="H52" s="18"/>
      <c r="I52" s="18"/>
      <c r="J52" s="18"/>
      <c r="K52" s="18"/>
      <c r="L52" s="18"/>
      <c r="M52" s="18"/>
      <c r="N52" s="18"/>
      <c r="O52" s="18"/>
      <c r="P52" s="18"/>
    </row>
    <row r="53" spans="1:16">
      <c r="A53" s="494" t="s">
        <v>801</v>
      </c>
      <c r="B53" s="18"/>
      <c r="C53" s="18"/>
      <c r="D53" s="18"/>
      <c r="E53" s="18"/>
      <c r="F53" s="18"/>
      <c r="G53" s="18"/>
      <c r="H53" s="18"/>
      <c r="I53" s="18"/>
      <c r="J53" s="18"/>
      <c r="K53" s="18"/>
      <c r="L53" s="18"/>
      <c r="M53" s="18"/>
      <c r="N53" s="18"/>
      <c r="O53" s="18"/>
      <c r="P53" s="18"/>
    </row>
    <row r="54" spans="1:16">
      <c r="A54" s="18"/>
      <c r="B54" s="18"/>
      <c r="C54" s="18"/>
      <c r="D54" s="18"/>
      <c r="E54" s="18"/>
      <c r="F54" s="18"/>
      <c r="G54" s="18"/>
      <c r="H54" s="18"/>
      <c r="I54" s="18"/>
      <c r="J54" s="18"/>
      <c r="K54" s="18"/>
      <c r="L54" s="18"/>
      <c r="M54" s="18"/>
      <c r="N54" s="18"/>
      <c r="O54" s="18"/>
      <c r="P54" s="18"/>
    </row>
    <row r="55" spans="1:16">
      <c r="A55" s="18" t="s">
        <v>426</v>
      </c>
      <c r="B55" s="18"/>
      <c r="C55" s="18"/>
      <c r="D55" s="18"/>
      <c r="E55" s="18"/>
      <c r="F55" s="18"/>
      <c r="G55" s="18"/>
      <c r="H55" s="18"/>
      <c r="I55" s="18"/>
      <c r="J55" s="18"/>
      <c r="K55" s="18"/>
      <c r="L55" s="18"/>
      <c r="M55" s="18"/>
      <c r="N55" s="18"/>
      <c r="O55" s="18"/>
      <c r="P55" s="18"/>
    </row>
    <row r="56" spans="1:16">
      <c r="A56" s="18"/>
      <c r="B56" s="18"/>
      <c r="C56" s="18"/>
      <c r="D56" s="18"/>
      <c r="E56" s="18"/>
      <c r="F56" s="18"/>
      <c r="G56" s="18"/>
      <c r="H56" s="18"/>
      <c r="I56" s="18"/>
      <c r="J56" s="18"/>
      <c r="K56" s="18"/>
      <c r="L56" s="18"/>
      <c r="M56" s="18"/>
      <c r="N56" s="18"/>
      <c r="O56" s="18"/>
      <c r="P56" s="18"/>
    </row>
    <row r="57" spans="1:16">
      <c r="A57" s="18"/>
      <c r="B57" s="18"/>
      <c r="C57" s="18"/>
      <c r="D57" s="18" t="s">
        <v>192</v>
      </c>
      <c r="E57" s="18"/>
      <c r="F57" s="18"/>
      <c r="G57" s="18"/>
      <c r="H57" s="18"/>
      <c r="I57" s="18"/>
      <c r="J57" s="18"/>
      <c r="K57" s="18"/>
      <c r="L57" s="18"/>
      <c r="M57" s="18"/>
      <c r="N57" s="18"/>
      <c r="O57" s="18"/>
      <c r="P57" s="18"/>
    </row>
    <row r="58" spans="1:16">
      <c r="A58" s="18"/>
      <c r="B58" s="18"/>
      <c r="C58" s="18" t="s">
        <v>427</v>
      </c>
      <c r="D58" s="18" t="s">
        <v>789</v>
      </c>
      <c r="E58" s="18" t="s">
        <v>790</v>
      </c>
      <c r="F58" s="18" t="s">
        <v>791</v>
      </c>
      <c r="G58" s="18" t="s">
        <v>792</v>
      </c>
      <c r="H58" s="18" t="s">
        <v>793</v>
      </c>
      <c r="I58" s="18" t="s">
        <v>794</v>
      </c>
      <c r="J58" s="18" t="s">
        <v>795</v>
      </c>
      <c r="K58" s="18" t="s">
        <v>796</v>
      </c>
      <c r="L58" s="18" t="s">
        <v>797</v>
      </c>
      <c r="M58" s="18" t="s">
        <v>798</v>
      </c>
      <c r="N58" s="18" t="s">
        <v>799</v>
      </c>
      <c r="O58" s="18" t="s">
        <v>800</v>
      </c>
      <c r="P58" s="18" t="s">
        <v>430</v>
      </c>
    </row>
    <row r="59" spans="1:16">
      <c r="A59" s="18" t="s">
        <v>352</v>
      </c>
      <c r="B59" s="18" t="s">
        <v>570</v>
      </c>
      <c r="C59" s="18"/>
      <c r="D59" s="18"/>
      <c r="E59" s="18"/>
      <c r="F59" s="18"/>
      <c r="G59" s="18"/>
      <c r="H59" s="18"/>
      <c r="I59" s="18"/>
      <c r="J59" s="18"/>
      <c r="K59" s="18"/>
      <c r="L59" s="18"/>
      <c r="M59" s="18"/>
      <c r="N59" s="18"/>
      <c r="O59" s="18"/>
      <c r="P59" s="18"/>
    </row>
    <row r="60" spans="1:16">
      <c r="A60" s="18" t="s">
        <v>545</v>
      </c>
      <c r="B60" s="18" t="s">
        <v>572</v>
      </c>
      <c r="C60" s="18"/>
      <c r="D60" s="466">
        <v>0</v>
      </c>
      <c r="E60" s="466">
        <v>0</v>
      </c>
      <c r="F60" s="466">
        <v>0</v>
      </c>
      <c r="G60" s="466">
        <v>0</v>
      </c>
      <c r="H60" s="466">
        <v>0</v>
      </c>
      <c r="I60" s="466">
        <v>0</v>
      </c>
      <c r="J60" s="466">
        <v>0</v>
      </c>
      <c r="K60" s="466">
        <v>0</v>
      </c>
      <c r="L60" s="466">
        <v>0</v>
      </c>
      <c r="M60" s="466">
        <v>0</v>
      </c>
      <c r="N60" s="466">
        <v>0</v>
      </c>
      <c r="O60" s="466">
        <v>0</v>
      </c>
      <c r="P60" s="466">
        <v>0</v>
      </c>
    </row>
    <row r="61" spans="1:16">
      <c r="A61" s="18"/>
      <c r="B61" s="18" t="s">
        <v>573</v>
      </c>
      <c r="C61" s="18"/>
      <c r="D61" s="466">
        <v>132932678.41673</v>
      </c>
      <c r="E61" s="466">
        <v>148559607.52684999</v>
      </c>
      <c r="F61" s="466">
        <v>141761426.70717001</v>
      </c>
      <c r="G61" s="466">
        <v>124004541.12118</v>
      </c>
      <c r="H61" s="466">
        <v>140178353.75525001</v>
      </c>
      <c r="I61" s="466">
        <v>158143293.20471999</v>
      </c>
      <c r="J61" s="466">
        <v>159647469.98063001</v>
      </c>
      <c r="K61" s="466">
        <v>134162822.0161</v>
      </c>
      <c r="L61" s="466">
        <v>167773864.12246001</v>
      </c>
      <c r="M61" s="466">
        <v>132901684.73149</v>
      </c>
      <c r="N61" s="466">
        <v>140558908.73076999</v>
      </c>
      <c r="O61" s="466">
        <v>131177805.42809001</v>
      </c>
      <c r="P61" s="466">
        <f>SUM(D61:O61)</f>
        <v>1711802455.7414398</v>
      </c>
    </row>
    <row r="62" spans="1:16">
      <c r="A62" s="18"/>
      <c r="B62" s="18" t="s">
        <v>574</v>
      </c>
      <c r="C62" s="18"/>
      <c r="D62" s="466">
        <v>34067985.820249997</v>
      </c>
      <c r="E62" s="466">
        <v>59532981.162150003</v>
      </c>
      <c r="F62" s="466">
        <v>45415210.938830003</v>
      </c>
      <c r="G62" s="466">
        <v>21690242.837820001</v>
      </c>
      <c r="H62" s="466">
        <v>40709925.912749998</v>
      </c>
      <c r="I62" s="466">
        <v>73708118.820820004</v>
      </c>
      <c r="J62" s="466">
        <v>76868350.344980001</v>
      </c>
      <c r="K62" s="466">
        <v>56031082.06391</v>
      </c>
      <c r="L62" s="466">
        <v>64590763.784529999</v>
      </c>
      <c r="M62" s="466">
        <v>41333312.205509998</v>
      </c>
      <c r="N62" s="466">
        <v>30382368.138239998</v>
      </c>
      <c r="O62" s="466">
        <v>30472355.521899998</v>
      </c>
      <c r="P62" s="466">
        <f t="shared" ref="P62:P72" si="20">SUM(D62:O62)</f>
        <v>574802697.5516901</v>
      </c>
    </row>
    <row r="63" spans="1:16">
      <c r="A63" s="18"/>
      <c r="B63" s="18" t="s">
        <v>575</v>
      </c>
      <c r="C63" s="18"/>
      <c r="D63" s="466">
        <v>10813177.737</v>
      </c>
      <c r="E63" s="466">
        <v>26698803.787</v>
      </c>
      <c r="F63" s="466">
        <v>17475548.124000002</v>
      </c>
      <c r="G63" s="466">
        <v>5549375.1560000004</v>
      </c>
      <c r="H63" s="466">
        <v>20667565.544</v>
      </c>
      <c r="I63" s="466">
        <v>73488083.412110001</v>
      </c>
      <c r="J63" s="466">
        <v>80061567.437020004</v>
      </c>
      <c r="K63" s="466">
        <v>48379224.681979999</v>
      </c>
      <c r="L63" s="466">
        <v>48676507.211999997</v>
      </c>
      <c r="M63" s="466">
        <v>21883085.846000001</v>
      </c>
      <c r="N63" s="466">
        <v>9027998.0639999993</v>
      </c>
      <c r="O63" s="466">
        <v>8735278.9539999999</v>
      </c>
      <c r="P63" s="466">
        <f t="shared" si="20"/>
        <v>371456215.95511007</v>
      </c>
    </row>
    <row r="64" spans="1:16">
      <c r="A64" s="18"/>
      <c r="B64" s="18" t="s">
        <v>571</v>
      </c>
      <c r="C64" s="18"/>
      <c r="D64" s="466">
        <v>0</v>
      </c>
      <c r="E64" s="466">
        <v>0</v>
      </c>
      <c r="F64" s="466">
        <v>0</v>
      </c>
      <c r="G64" s="466">
        <v>0</v>
      </c>
      <c r="H64" s="466">
        <v>0</v>
      </c>
      <c r="I64" s="466">
        <v>0</v>
      </c>
      <c r="J64" s="466">
        <v>0</v>
      </c>
      <c r="K64" s="466">
        <v>0</v>
      </c>
      <c r="L64" s="466">
        <v>0</v>
      </c>
      <c r="M64" s="466">
        <v>0</v>
      </c>
      <c r="N64" s="466">
        <v>0</v>
      </c>
      <c r="O64" s="466">
        <v>0</v>
      </c>
      <c r="P64" s="466">
        <f>SUM(D64:O64)</f>
        <v>0</v>
      </c>
    </row>
    <row r="65" spans="1:16">
      <c r="A65" s="18"/>
      <c r="B65" s="18" t="s">
        <v>576</v>
      </c>
      <c r="C65" s="18"/>
      <c r="D65" s="466">
        <v>0</v>
      </c>
      <c r="E65" s="466">
        <v>0</v>
      </c>
      <c r="F65" s="466">
        <v>0</v>
      </c>
      <c r="G65" s="466">
        <v>0</v>
      </c>
      <c r="H65" s="466">
        <v>0</v>
      </c>
      <c r="I65" s="466">
        <v>0</v>
      </c>
      <c r="J65" s="466">
        <v>0</v>
      </c>
      <c r="K65" s="466">
        <v>0</v>
      </c>
      <c r="L65" s="466">
        <v>0</v>
      </c>
      <c r="M65" s="466">
        <v>0</v>
      </c>
      <c r="N65" s="466">
        <v>0</v>
      </c>
      <c r="O65" s="466">
        <v>0</v>
      </c>
      <c r="P65" s="466">
        <f>SUM(D65:O65)</f>
        <v>0</v>
      </c>
    </row>
    <row r="66" spans="1:16">
      <c r="A66" s="18"/>
      <c r="B66" s="18" t="s">
        <v>650</v>
      </c>
      <c r="C66" s="18"/>
      <c r="D66" s="466">
        <v>0</v>
      </c>
      <c r="E66" s="466">
        <v>0</v>
      </c>
      <c r="F66" s="466">
        <v>0</v>
      </c>
      <c r="G66" s="466">
        <v>0</v>
      </c>
      <c r="H66" s="466">
        <v>0</v>
      </c>
      <c r="I66" s="466">
        <v>0</v>
      </c>
      <c r="J66" s="466">
        <v>0</v>
      </c>
      <c r="K66" s="466">
        <v>0</v>
      </c>
      <c r="L66" s="466">
        <v>0</v>
      </c>
      <c r="M66" s="466">
        <v>0</v>
      </c>
      <c r="N66" s="466">
        <v>0</v>
      </c>
      <c r="O66" s="466">
        <v>0</v>
      </c>
      <c r="P66" s="466">
        <f>SUM(D66:O66)</f>
        <v>0</v>
      </c>
    </row>
    <row r="67" spans="1:16">
      <c r="A67" s="18"/>
      <c r="B67" s="18" t="s">
        <v>621</v>
      </c>
      <c r="C67" s="18"/>
      <c r="D67" s="466">
        <v>0</v>
      </c>
      <c r="E67" s="466">
        <v>0</v>
      </c>
      <c r="F67" s="466">
        <v>0</v>
      </c>
      <c r="G67" s="466">
        <v>0</v>
      </c>
      <c r="H67" s="466">
        <v>0</v>
      </c>
      <c r="I67" s="466">
        <v>0</v>
      </c>
      <c r="J67" s="466">
        <v>0</v>
      </c>
      <c r="K67" s="466">
        <v>0</v>
      </c>
      <c r="L67" s="466">
        <v>0</v>
      </c>
      <c r="M67" s="466">
        <v>0</v>
      </c>
      <c r="N67" s="466">
        <v>0</v>
      </c>
      <c r="O67" s="466">
        <v>0</v>
      </c>
      <c r="P67" s="466">
        <f t="shared" si="20"/>
        <v>0</v>
      </c>
    </row>
    <row r="68" spans="1:16">
      <c r="A68" s="18"/>
      <c r="B68" s="18" t="s">
        <v>577</v>
      </c>
      <c r="C68" s="18"/>
      <c r="D68" s="466">
        <v>0</v>
      </c>
      <c r="E68" s="466">
        <v>0</v>
      </c>
      <c r="F68" s="466">
        <v>0</v>
      </c>
      <c r="G68" s="466">
        <v>0</v>
      </c>
      <c r="H68" s="466">
        <v>0</v>
      </c>
      <c r="I68" s="466">
        <v>0</v>
      </c>
      <c r="J68" s="466">
        <v>0</v>
      </c>
      <c r="K68" s="466">
        <v>0</v>
      </c>
      <c r="L68" s="466">
        <v>0</v>
      </c>
      <c r="M68" s="466">
        <v>-5529.68</v>
      </c>
      <c r="N68" s="466">
        <v>0</v>
      </c>
      <c r="O68" s="466">
        <v>0</v>
      </c>
      <c r="P68" s="466">
        <f t="shared" si="20"/>
        <v>-5529.68</v>
      </c>
    </row>
    <row r="69" spans="1:16">
      <c r="A69" s="18"/>
      <c r="B69" s="18" t="s">
        <v>578</v>
      </c>
      <c r="C69" s="18"/>
      <c r="D69" s="466">
        <v>0</v>
      </c>
      <c r="E69" s="466">
        <v>0</v>
      </c>
      <c r="F69" s="466">
        <v>0</v>
      </c>
      <c r="G69" s="466">
        <v>0</v>
      </c>
      <c r="H69" s="466">
        <v>0</v>
      </c>
      <c r="I69" s="466">
        <v>0</v>
      </c>
      <c r="J69" s="466">
        <v>0</v>
      </c>
      <c r="K69" s="466">
        <v>0</v>
      </c>
      <c r="L69" s="466">
        <v>0</v>
      </c>
      <c r="M69" s="466">
        <v>0</v>
      </c>
      <c r="N69" s="466">
        <v>0</v>
      </c>
      <c r="O69" s="466">
        <v>0</v>
      </c>
      <c r="P69" s="466">
        <f t="shared" si="20"/>
        <v>0</v>
      </c>
    </row>
    <row r="70" spans="1:16">
      <c r="A70" s="18"/>
      <c r="B70" s="18" t="s">
        <v>579</v>
      </c>
      <c r="C70" s="18"/>
      <c r="D70" s="466">
        <v>0</v>
      </c>
      <c r="E70" s="466">
        <v>0</v>
      </c>
      <c r="F70" s="466">
        <v>0</v>
      </c>
      <c r="G70" s="466">
        <v>0</v>
      </c>
      <c r="H70" s="466">
        <v>0</v>
      </c>
      <c r="I70" s="466">
        <v>0</v>
      </c>
      <c r="J70" s="466">
        <v>0</v>
      </c>
      <c r="K70" s="466">
        <v>0</v>
      </c>
      <c r="L70" s="466">
        <v>0</v>
      </c>
      <c r="M70" s="466">
        <v>0</v>
      </c>
      <c r="N70" s="466">
        <v>0</v>
      </c>
      <c r="O70" s="466">
        <v>0</v>
      </c>
      <c r="P70" s="466">
        <f t="shared" si="20"/>
        <v>0</v>
      </c>
    </row>
    <row r="71" spans="1:16">
      <c r="A71" s="18"/>
      <c r="B71" s="18" t="s">
        <v>580</v>
      </c>
      <c r="C71" s="18"/>
      <c r="D71" s="466">
        <v>0</v>
      </c>
      <c r="E71" s="466">
        <v>0</v>
      </c>
      <c r="F71" s="466">
        <v>0</v>
      </c>
      <c r="G71" s="466">
        <v>0</v>
      </c>
      <c r="H71" s="466">
        <v>0</v>
      </c>
      <c r="I71" s="466">
        <v>0</v>
      </c>
      <c r="J71" s="466">
        <v>0</v>
      </c>
      <c r="K71" s="466">
        <v>0</v>
      </c>
      <c r="L71" s="466">
        <v>0</v>
      </c>
      <c r="M71" s="466">
        <v>0</v>
      </c>
      <c r="N71" s="466">
        <v>0</v>
      </c>
      <c r="O71" s="466">
        <v>0</v>
      </c>
      <c r="P71" s="466">
        <f t="shared" si="20"/>
        <v>0</v>
      </c>
    </row>
    <row r="72" spans="1:16">
      <c r="A72" s="18"/>
      <c r="B72" s="18" t="s">
        <v>581</v>
      </c>
      <c r="C72" s="18"/>
      <c r="D72" s="466"/>
      <c r="E72" s="466"/>
      <c r="F72" s="466"/>
      <c r="G72" s="466"/>
      <c r="H72" s="466">
        <v>0</v>
      </c>
      <c r="I72" s="466">
        <v>0</v>
      </c>
      <c r="J72" s="466">
        <v>0</v>
      </c>
      <c r="K72" s="466">
        <v>0</v>
      </c>
      <c r="L72" s="466">
        <v>0</v>
      </c>
      <c r="M72" s="466">
        <v>0</v>
      </c>
      <c r="N72" s="466">
        <v>0</v>
      </c>
      <c r="O72" s="466">
        <v>0</v>
      </c>
      <c r="P72" s="466">
        <f t="shared" si="20"/>
        <v>0</v>
      </c>
    </row>
    <row r="73" spans="1:16">
      <c r="A73" s="18"/>
      <c r="B73" s="18" t="s">
        <v>651</v>
      </c>
      <c r="C73" s="18"/>
      <c r="D73" s="466"/>
      <c r="E73" s="466"/>
      <c r="F73" s="466"/>
      <c r="G73" s="466"/>
      <c r="H73" s="466"/>
      <c r="I73" s="466"/>
      <c r="J73" s="466"/>
      <c r="K73" s="466"/>
      <c r="L73" s="466"/>
      <c r="M73" s="466"/>
      <c r="N73" s="466">
        <v>0</v>
      </c>
      <c r="O73" s="466">
        <v>0</v>
      </c>
      <c r="P73" s="466">
        <v>0</v>
      </c>
    </row>
    <row r="74" spans="1:16">
      <c r="A74" s="18"/>
      <c r="B74" s="18" t="s">
        <v>64</v>
      </c>
      <c r="C74" s="18"/>
      <c r="D74" s="466">
        <f>SUM(D60:D73)</f>
        <v>177813841.97397998</v>
      </c>
      <c r="E74" s="466">
        <f t="shared" ref="E74:P74" si="21">SUM(E60:E73)</f>
        <v>234791392.47599998</v>
      </c>
      <c r="F74" s="466">
        <f t="shared" si="21"/>
        <v>204652185.77000004</v>
      </c>
      <c r="G74" s="466">
        <f t="shared" si="21"/>
        <v>151244159.11499998</v>
      </c>
      <c r="H74" s="466">
        <f t="shared" si="21"/>
        <v>201555845.21200001</v>
      </c>
      <c r="I74" s="466">
        <f t="shared" si="21"/>
        <v>305339495.43764997</v>
      </c>
      <c r="J74" s="466">
        <f t="shared" si="21"/>
        <v>316577387.76262999</v>
      </c>
      <c r="K74" s="466">
        <f t="shared" si="21"/>
        <v>238573128.76199001</v>
      </c>
      <c r="L74" s="466">
        <f t="shared" si="21"/>
        <v>281041135.11899</v>
      </c>
      <c r="M74" s="466">
        <f>SUM(M60:M73)</f>
        <v>196112553.10299999</v>
      </c>
      <c r="N74" s="466">
        <f t="shared" si="21"/>
        <v>179969274.93301001</v>
      </c>
      <c r="O74" s="466">
        <f t="shared" si="21"/>
        <v>170385439.90399</v>
      </c>
      <c r="P74" s="466">
        <f t="shared" si="21"/>
        <v>2658055839.5682402</v>
      </c>
    </row>
    <row r="75" spans="1:16">
      <c r="A75" s="18" t="s">
        <v>546</v>
      </c>
      <c r="B75" s="18" t="s">
        <v>572</v>
      </c>
      <c r="C75" s="18"/>
      <c r="D75" s="466">
        <v>0</v>
      </c>
      <c r="E75" s="466">
        <v>0</v>
      </c>
      <c r="F75" s="466">
        <v>0</v>
      </c>
      <c r="G75" s="466">
        <v>0</v>
      </c>
      <c r="H75" s="466">
        <v>0</v>
      </c>
      <c r="I75" s="466">
        <v>0</v>
      </c>
      <c r="J75" s="466">
        <v>0</v>
      </c>
      <c r="K75" s="466">
        <v>0</v>
      </c>
      <c r="L75" s="466">
        <v>0</v>
      </c>
      <c r="M75" s="466">
        <v>0</v>
      </c>
      <c r="N75" s="466">
        <v>0</v>
      </c>
      <c r="O75" s="466">
        <v>0</v>
      </c>
      <c r="P75" s="466">
        <v>0</v>
      </c>
    </row>
    <row r="76" spans="1:16">
      <c r="A76" s="18"/>
      <c r="B76" s="18" t="s">
        <v>573</v>
      </c>
      <c r="C76" s="18"/>
      <c r="D76" s="466">
        <v>470992.05966999999</v>
      </c>
      <c r="E76" s="466">
        <v>522779.43699000002</v>
      </c>
      <c r="F76" s="466">
        <v>494318.77299999999</v>
      </c>
      <c r="G76" s="466">
        <v>467745.50566999998</v>
      </c>
      <c r="H76" s="466">
        <v>563440.30533</v>
      </c>
      <c r="I76" s="466">
        <v>628440.69099999999</v>
      </c>
      <c r="J76" s="466">
        <v>652144.62433000002</v>
      </c>
      <c r="K76" s="466">
        <v>588407.72267000005</v>
      </c>
      <c r="L76" s="466">
        <v>710585.53032999998</v>
      </c>
      <c r="M76" s="466">
        <v>608442.70533000003</v>
      </c>
      <c r="N76" s="466">
        <v>603801.46267000004</v>
      </c>
      <c r="O76" s="466">
        <v>520485.10333999997</v>
      </c>
      <c r="P76" s="466">
        <f>SUM(D76:O76)</f>
        <v>6831583.9203300001</v>
      </c>
    </row>
    <row r="77" spans="1:16">
      <c r="A77" s="18"/>
      <c r="B77" s="18" t="s">
        <v>574</v>
      </c>
      <c r="C77" s="18"/>
      <c r="D77" s="466">
        <v>97070.63033</v>
      </c>
      <c r="E77" s="466">
        <v>157993.10900999999</v>
      </c>
      <c r="F77" s="466">
        <v>132312.20699999999</v>
      </c>
      <c r="G77" s="466">
        <v>83964.234330000007</v>
      </c>
      <c r="H77" s="466">
        <v>232810.93567000001</v>
      </c>
      <c r="I77" s="466">
        <v>397840.52299999999</v>
      </c>
      <c r="J77" s="466">
        <v>425271.81770000001</v>
      </c>
      <c r="K77" s="466">
        <v>353168.46032999997</v>
      </c>
      <c r="L77" s="466">
        <v>408006.93066999997</v>
      </c>
      <c r="M77" s="466">
        <v>291603.23067000002</v>
      </c>
      <c r="N77" s="466">
        <v>167411.74233000001</v>
      </c>
      <c r="O77" s="466">
        <v>110322.60166</v>
      </c>
      <c r="P77" s="466">
        <f t="shared" ref="P77:P88" si="22">SUM(D77:O77)</f>
        <v>2857776.4227</v>
      </c>
    </row>
    <row r="78" spans="1:16">
      <c r="A78" s="18"/>
      <c r="B78" s="18" t="s">
        <v>575</v>
      </c>
      <c r="C78" s="18"/>
      <c r="D78" s="466">
        <v>29254.404999999999</v>
      </c>
      <c r="E78" s="466">
        <v>67447.990999999995</v>
      </c>
      <c r="F78" s="466">
        <v>54291.819000000003</v>
      </c>
      <c r="G78" s="466">
        <v>20295.702000000001</v>
      </c>
      <c r="H78" s="466">
        <v>160458.821</v>
      </c>
      <c r="I78" s="466">
        <v>562239.26399999997</v>
      </c>
      <c r="J78" s="466">
        <v>607518.01801</v>
      </c>
      <c r="K78" s="466">
        <v>431408.97399999999</v>
      </c>
      <c r="L78" s="466">
        <v>419724.92700000003</v>
      </c>
      <c r="M78" s="466">
        <v>201203.986</v>
      </c>
      <c r="N78" s="466">
        <v>49830.601999999999</v>
      </c>
      <c r="O78" s="466">
        <v>35868.072</v>
      </c>
      <c r="P78" s="466">
        <f t="shared" si="22"/>
        <v>2639542.5810100003</v>
      </c>
    </row>
    <row r="79" spans="1:16">
      <c r="A79" s="18"/>
      <c r="B79" s="18" t="s">
        <v>571</v>
      </c>
      <c r="C79" s="18"/>
      <c r="D79" s="466">
        <v>0</v>
      </c>
      <c r="E79" s="466">
        <v>0</v>
      </c>
      <c r="F79" s="466">
        <v>0</v>
      </c>
      <c r="G79" s="466">
        <v>0</v>
      </c>
      <c r="H79" s="466">
        <v>0</v>
      </c>
      <c r="I79" s="466">
        <v>0</v>
      </c>
      <c r="J79" s="466">
        <v>0</v>
      </c>
      <c r="K79" s="466">
        <v>0</v>
      </c>
      <c r="L79" s="466">
        <v>0</v>
      </c>
      <c r="M79" s="466">
        <v>0</v>
      </c>
      <c r="N79" s="466">
        <v>0</v>
      </c>
      <c r="O79" s="466">
        <v>0</v>
      </c>
      <c r="P79" s="466">
        <f t="shared" si="22"/>
        <v>0</v>
      </c>
    </row>
    <row r="80" spans="1:16">
      <c r="A80" s="18"/>
      <c r="B80" s="18" t="s">
        <v>576</v>
      </c>
      <c r="C80" s="18"/>
      <c r="D80" s="466">
        <v>0</v>
      </c>
      <c r="E80" s="466">
        <v>0</v>
      </c>
      <c r="F80" s="466">
        <v>0</v>
      </c>
      <c r="G80" s="466">
        <v>0</v>
      </c>
      <c r="H80" s="466">
        <v>0</v>
      </c>
      <c r="I80" s="466">
        <v>0</v>
      </c>
      <c r="J80" s="466">
        <v>0</v>
      </c>
      <c r="K80" s="466">
        <v>0</v>
      </c>
      <c r="L80" s="466">
        <v>0</v>
      </c>
      <c r="M80" s="466">
        <v>0</v>
      </c>
      <c r="N80" s="466">
        <v>0</v>
      </c>
      <c r="O80" s="466">
        <v>0</v>
      </c>
      <c r="P80" s="466">
        <f t="shared" si="22"/>
        <v>0</v>
      </c>
    </row>
    <row r="81" spans="1:16">
      <c r="A81" s="18"/>
      <c r="B81" s="18" t="s">
        <v>621</v>
      </c>
      <c r="C81" s="18"/>
      <c r="D81" s="466">
        <v>0</v>
      </c>
      <c r="E81" s="466">
        <v>0</v>
      </c>
      <c r="F81" s="466">
        <v>0</v>
      </c>
      <c r="G81" s="466">
        <v>0</v>
      </c>
      <c r="H81" s="466">
        <v>0</v>
      </c>
      <c r="I81" s="466">
        <v>0</v>
      </c>
      <c r="J81" s="466">
        <v>0</v>
      </c>
      <c r="K81" s="466">
        <v>0</v>
      </c>
      <c r="L81" s="466">
        <v>0</v>
      </c>
      <c r="M81" s="466">
        <v>0</v>
      </c>
      <c r="N81" s="466">
        <v>0</v>
      </c>
      <c r="O81" s="466">
        <v>0</v>
      </c>
      <c r="P81" s="466">
        <f t="shared" si="22"/>
        <v>0</v>
      </c>
    </row>
    <row r="82" spans="1:16">
      <c r="A82" s="18"/>
      <c r="B82" s="18" t="s">
        <v>582</v>
      </c>
      <c r="C82" s="18"/>
      <c r="D82" s="466">
        <v>0</v>
      </c>
      <c r="E82" s="466">
        <v>0</v>
      </c>
      <c r="F82" s="466">
        <v>0</v>
      </c>
      <c r="G82" s="466">
        <v>0</v>
      </c>
      <c r="H82" s="466">
        <v>0</v>
      </c>
      <c r="I82" s="466">
        <v>0</v>
      </c>
      <c r="J82" s="466">
        <v>0</v>
      </c>
      <c r="K82" s="466">
        <v>0</v>
      </c>
      <c r="L82" s="466">
        <v>0</v>
      </c>
      <c r="M82" s="466">
        <v>0</v>
      </c>
      <c r="N82" s="466">
        <v>0</v>
      </c>
      <c r="O82" s="466">
        <v>0</v>
      </c>
      <c r="P82" s="466">
        <f t="shared" si="22"/>
        <v>0</v>
      </c>
    </row>
    <row r="83" spans="1:16">
      <c r="A83" s="18"/>
      <c r="B83" s="18" t="s">
        <v>577</v>
      </c>
      <c r="C83" s="18"/>
      <c r="D83" s="466">
        <v>0</v>
      </c>
      <c r="E83" s="466">
        <v>0</v>
      </c>
      <c r="F83" s="466">
        <v>0</v>
      </c>
      <c r="G83" s="466">
        <v>0</v>
      </c>
      <c r="H83" s="466">
        <v>0</v>
      </c>
      <c r="I83" s="466">
        <v>0</v>
      </c>
      <c r="J83" s="466">
        <v>0</v>
      </c>
      <c r="K83" s="466">
        <v>0</v>
      </c>
      <c r="L83" s="466">
        <v>0</v>
      </c>
      <c r="M83" s="466">
        <v>0</v>
      </c>
      <c r="N83" s="466">
        <v>0</v>
      </c>
      <c r="O83" s="466">
        <v>0</v>
      </c>
      <c r="P83" s="466">
        <f t="shared" si="22"/>
        <v>0</v>
      </c>
    </row>
    <row r="84" spans="1:16">
      <c r="A84" s="18"/>
      <c r="B84" s="18" t="s">
        <v>578</v>
      </c>
      <c r="C84" s="18"/>
      <c r="D84" s="466">
        <v>0</v>
      </c>
      <c r="E84" s="466">
        <v>0</v>
      </c>
      <c r="F84" s="466">
        <v>0</v>
      </c>
      <c r="G84" s="466">
        <v>0</v>
      </c>
      <c r="H84" s="466">
        <v>0</v>
      </c>
      <c r="I84" s="466">
        <v>0</v>
      </c>
      <c r="J84" s="466">
        <v>0</v>
      </c>
      <c r="K84" s="466">
        <v>0</v>
      </c>
      <c r="L84" s="466">
        <v>0</v>
      </c>
      <c r="M84" s="466">
        <v>0</v>
      </c>
      <c r="N84" s="466">
        <v>0</v>
      </c>
      <c r="O84" s="466">
        <v>0</v>
      </c>
      <c r="P84" s="466">
        <f t="shared" si="22"/>
        <v>0</v>
      </c>
    </row>
    <row r="85" spans="1:16">
      <c r="A85" s="18"/>
      <c r="B85" s="18" t="s">
        <v>579</v>
      </c>
      <c r="C85" s="18"/>
      <c r="D85" s="466">
        <v>0</v>
      </c>
      <c r="E85" s="466">
        <v>0</v>
      </c>
      <c r="F85" s="466">
        <v>0</v>
      </c>
      <c r="G85" s="466">
        <v>0</v>
      </c>
      <c r="H85" s="466">
        <v>0</v>
      </c>
      <c r="I85" s="466">
        <v>0</v>
      </c>
      <c r="J85" s="466">
        <v>0</v>
      </c>
      <c r="K85" s="466">
        <v>0</v>
      </c>
      <c r="L85" s="466">
        <v>0</v>
      </c>
      <c r="M85" s="466">
        <v>0</v>
      </c>
      <c r="N85" s="466">
        <v>0</v>
      </c>
      <c r="O85" s="466">
        <v>0</v>
      </c>
      <c r="P85" s="466">
        <f t="shared" si="22"/>
        <v>0</v>
      </c>
    </row>
    <row r="86" spans="1:16">
      <c r="A86" s="18"/>
      <c r="B86" s="18" t="s">
        <v>580</v>
      </c>
      <c r="C86" s="18"/>
      <c r="D86" s="466">
        <v>0</v>
      </c>
      <c r="E86" s="466">
        <v>0</v>
      </c>
      <c r="F86" s="466">
        <v>0</v>
      </c>
      <c r="G86" s="466">
        <v>0</v>
      </c>
      <c r="H86" s="466">
        <v>0</v>
      </c>
      <c r="I86" s="466">
        <v>0</v>
      </c>
      <c r="J86" s="466">
        <v>0</v>
      </c>
      <c r="K86" s="466">
        <v>0</v>
      </c>
      <c r="L86" s="466">
        <v>0</v>
      </c>
      <c r="M86" s="466">
        <v>0</v>
      </c>
      <c r="N86" s="466">
        <v>0</v>
      </c>
      <c r="O86" s="466">
        <v>0</v>
      </c>
      <c r="P86" s="466">
        <f t="shared" si="22"/>
        <v>0</v>
      </c>
    </row>
    <row r="87" spans="1:16">
      <c r="A87" s="18"/>
      <c r="B87" s="18" t="s">
        <v>581</v>
      </c>
      <c r="C87" s="18"/>
      <c r="D87" s="466">
        <v>0</v>
      </c>
      <c r="E87" s="466">
        <v>0</v>
      </c>
      <c r="F87" s="466">
        <v>0</v>
      </c>
      <c r="G87" s="466">
        <v>0</v>
      </c>
      <c r="H87" s="466">
        <v>0</v>
      </c>
      <c r="I87" s="466">
        <v>0</v>
      </c>
      <c r="J87" s="466">
        <v>0</v>
      </c>
      <c r="K87" s="466">
        <v>0</v>
      </c>
      <c r="L87" s="466">
        <v>0</v>
      </c>
      <c r="M87" s="466">
        <v>0</v>
      </c>
      <c r="N87" s="466">
        <v>0</v>
      </c>
      <c r="O87" s="466">
        <v>0</v>
      </c>
      <c r="P87" s="466">
        <f t="shared" si="22"/>
        <v>0</v>
      </c>
    </row>
    <row r="88" spans="1:16">
      <c r="A88" s="18"/>
      <c r="B88" s="18" t="s">
        <v>650</v>
      </c>
      <c r="C88" s="18"/>
      <c r="D88" s="466"/>
      <c r="E88" s="466"/>
      <c r="F88" s="466"/>
      <c r="G88" s="466"/>
      <c r="H88" s="466">
        <v>0</v>
      </c>
      <c r="I88" s="466">
        <v>0</v>
      </c>
      <c r="J88" s="466">
        <v>0</v>
      </c>
      <c r="K88" s="466">
        <v>0</v>
      </c>
      <c r="L88" s="466">
        <v>0</v>
      </c>
      <c r="M88" s="466">
        <v>0</v>
      </c>
      <c r="N88" s="466">
        <v>0</v>
      </c>
      <c r="O88" s="466">
        <v>0</v>
      </c>
      <c r="P88" s="466">
        <f t="shared" si="22"/>
        <v>0</v>
      </c>
    </row>
    <row r="89" spans="1:16">
      <c r="A89" s="18"/>
      <c r="B89" s="18" t="s">
        <v>64</v>
      </c>
      <c r="C89" s="18"/>
      <c r="D89" s="466">
        <f>SUM(D75:D88)</f>
        <v>597317.09499999997</v>
      </c>
      <c r="E89" s="466">
        <f t="shared" ref="E89:P89" si="23">SUM(E75:E88)</f>
        <v>748220.53700000001</v>
      </c>
      <c r="F89" s="466">
        <f t="shared" si="23"/>
        <v>680922.799</v>
      </c>
      <c r="G89" s="466">
        <f t="shared" si="23"/>
        <v>572005.44200000004</v>
      </c>
      <c r="H89" s="466">
        <f t="shared" si="23"/>
        <v>956710.06200000003</v>
      </c>
      <c r="I89" s="466">
        <f t="shared" si="23"/>
        <v>1588520.4779999999</v>
      </c>
      <c r="J89" s="466">
        <f t="shared" si="23"/>
        <v>1684934.46004</v>
      </c>
      <c r="K89" s="466">
        <f t="shared" si="23"/>
        <v>1372985.1569999999</v>
      </c>
      <c r="L89" s="466">
        <f t="shared" si="23"/>
        <v>1538317.3879999998</v>
      </c>
      <c r="M89" s="466">
        <f t="shared" si="23"/>
        <v>1101249.922</v>
      </c>
      <c r="N89" s="466">
        <f t="shared" si="23"/>
        <v>821043.80700000003</v>
      </c>
      <c r="O89" s="466">
        <f t="shared" si="23"/>
        <v>666675.777</v>
      </c>
      <c r="P89" s="466">
        <f t="shared" si="23"/>
        <v>12328902.924040001</v>
      </c>
    </row>
    <row r="90" spans="1:16">
      <c r="A90" s="18" t="s">
        <v>547</v>
      </c>
      <c r="B90" s="18" t="s">
        <v>583</v>
      </c>
      <c r="C90" s="18"/>
      <c r="D90" s="466">
        <v>0</v>
      </c>
      <c r="E90" s="466">
        <v>0</v>
      </c>
      <c r="F90" s="466">
        <v>0</v>
      </c>
      <c r="G90" s="466">
        <v>0</v>
      </c>
      <c r="H90" s="466">
        <v>0</v>
      </c>
      <c r="I90" s="466">
        <v>0</v>
      </c>
      <c r="J90" s="466">
        <v>0</v>
      </c>
      <c r="K90" s="466">
        <v>0</v>
      </c>
      <c r="L90" s="466">
        <v>0</v>
      </c>
      <c r="M90" s="466">
        <v>0</v>
      </c>
      <c r="N90" s="466">
        <v>0</v>
      </c>
      <c r="O90" s="466">
        <v>0</v>
      </c>
      <c r="P90" s="466">
        <f t="shared" ref="P90:P93" si="24">SUM(D90:O90)</f>
        <v>0</v>
      </c>
    </row>
    <row r="91" spans="1:16">
      <c r="A91" s="18"/>
      <c r="B91" s="18" t="s">
        <v>572</v>
      </c>
      <c r="C91" s="18"/>
      <c r="D91" s="466">
        <v>0</v>
      </c>
      <c r="E91" s="466">
        <v>0</v>
      </c>
      <c r="F91" s="466">
        <v>0</v>
      </c>
      <c r="G91" s="466">
        <v>0</v>
      </c>
      <c r="H91" s="466">
        <v>0</v>
      </c>
      <c r="I91" s="466">
        <v>0</v>
      </c>
      <c r="J91" s="466">
        <v>0</v>
      </c>
      <c r="K91" s="466">
        <v>0</v>
      </c>
      <c r="L91" s="466">
        <v>0</v>
      </c>
      <c r="M91" s="466">
        <v>0</v>
      </c>
      <c r="N91" s="466">
        <v>0</v>
      </c>
      <c r="O91" s="466">
        <v>0</v>
      </c>
      <c r="P91" s="466">
        <f t="shared" si="24"/>
        <v>0</v>
      </c>
    </row>
    <row r="92" spans="1:16">
      <c r="A92" s="18"/>
      <c r="B92" s="18" t="s">
        <v>584</v>
      </c>
      <c r="C92" s="18"/>
      <c r="D92" s="466">
        <v>0</v>
      </c>
      <c r="E92" s="466">
        <v>0</v>
      </c>
      <c r="F92" s="466">
        <v>0</v>
      </c>
      <c r="G92" s="466">
        <v>0</v>
      </c>
      <c r="H92" s="466">
        <v>0</v>
      </c>
      <c r="I92" s="466">
        <v>0</v>
      </c>
      <c r="J92" s="466">
        <v>0</v>
      </c>
      <c r="K92" s="466">
        <v>0</v>
      </c>
      <c r="L92" s="466">
        <v>0</v>
      </c>
      <c r="M92" s="466">
        <v>0</v>
      </c>
      <c r="N92" s="466">
        <v>0</v>
      </c>
      <c r="O92" s="466">
        <v>0</v>
      </c>
      <c r="P92" s="466">
        <f t="shared" si="24"/>
        <v>0</v>
      </c>
    </row>
    <row r="93" spans="1:16">
      <c r="A93" s="18"/>
      <c r="B93" s="18" t="s">
        <v>585</v>
      </c>
      <c r="C93" s="18"/>
      <c r="D93" s="466">
        <v>0</v>
      </c>
      <c r="E93" s="466">
        <v>0</v>
      </c>
      <c r="F93" s="466">
        <v>0</v>
      </c>
      <c r="G93" s="466">
        <v>0</v>
      </c>
      <c r="H93" s="466">
        <v>0</v>
      </c>
      <c r="I93" s="466">
        <v>0</v>
      </c>
      <c r="J93" s="466">
        <v>0</v>
      </c>
      <c r="K93" s="466">
        <v>0</v>
      </c>
      <c r="L93" s="466">
        <v>0</v>
      </c>
      <c r="M93" s="466">
        <v>0</v>
      </c>
      <c r="N93" s="466">
        <v>0</v>
      </c>
      <c r="O93" s="466">
        <v>0</v>
      </c>
      <c r="P93" s="466">
        <f t="shared" si="24"/>
        <v>0</v>
      </c>
    </row>
    <row r="94" spans="1:16">
      <c r="A94" s="18"/>
      <c r="B94" s="18" t="s">
        <v>573</v>
      </c>
      <c r="C94" s="18"/>
      <c r="D94" s="466">
        <v>31133856.694019999</v>
      </c>
      <c r="E94" s="466">
        <v>34580002.385310002</v>
      </c>
      <c r="F94" s="466">
        <v>33388254.757040001</v>
      </c>
      <c r="G94" s="466">
        <v>30163090.740290001</v>
      </c>
      <c r="H94" s="466">
        <v>31172162.65495</v>
      </c>
      <c r="I94" s="466">
        <v>37884281.866910003</v>
      </c>
      <c r="J94" s="466">
        <v>38932274.29941</v>
      </c>
      <c r="K94" s="466">
        <v>31244245.17639</v>
      </c>
      <c r="L94" s="466">
        <v>40923998.34832</v>
      </c>
      <c r="M94" s="466">
        <v>31360160.217319999</v>
      </c>
      <c r="N94" s="466">
        <v>33724856.107320003</v>
      </c>
      <c r="O94" s="466">
        <v>30683647.097309999</v>
      </c>
      <c r="P94" s="466">
        <f>SUM(D94:O94)</f>
        <v>405190830.34459007</v>
      </c>
    </row>
    <row r="95" spans="1:16">
      <c r="A95" s="18"/>
      <c r="B95" s="18" t="s">
        <v>574</v>
      </c>
      <c r="C95" s="18"/>
      <c r="D95" s="466">
        <v>16822466.237980001</v>
      </c>
      <c r="E95" s="466">
        <v>23476616.792690001</v>
      </c>
      <c r="F95" s="466">
        <v>20311767.96596</v>
      </c>
      <c r="G95" s="466">
        <v>14583101.94671</v>
      </c>
      <c r="H95" s="466">
        <v>15079815.920050001</v>
      </c>
      <c r="I95" s="466">
        <v>23515797.77434</v>
      </c>
      <c r="J95" s="466">
        <v>25401130.96122</v>
      </c>
      <c r="K95" s="466">
        <v>17900166.795639999</v>
      </c>
      <c r="L95" s="466">
        <v>22386334.80968</v>
      </c>
      <c r="M95" s="466">
        <v>14508816.586680001</v>
      </c>
      <c r="N95" s="466">
        <v>15419547.62968</v>
      </c>
      <c r="O95" s="466">
        <v>15708174.471689999</v>
      </c>
      <c r="P95" s="466">
        <f t="shared" ref="P95:P103" si="25">SUM(D95:O95)</f>
        <v>225113737.89232001</v>
      </c>
    </row>
    <row r="96" spans="1:16">
      <c r="A96" s="18"/>
      <c r="B96" s="18" t="s">
        <v>571</v>
      </c>
      <c r="C96" s="18"/>
      <c r="D96" s="466">
        <v>0</v>
      </c>
      <c r="E96" s="466">
        <v>0</v>
      </c>
      <c r="F96" s="466">
        <v>0</v>
      </c>
      <c r="G96" s="466">
        <v>0</v>
      </c>
      <c r="H96" s="466">
        <v>0</v>
      </c>
      <c r="I96" s="466">
        <v>18000</v>
      </c>
      <c r="J96" s="466">
        <v>0</v>
      </c>
      <c r="K96" s="466">
        <v>0</v>
      </c>
      <c r="L96" s="466">
        <v>0</v>
      </c>
      <c r="M96" s="466">
        <v>0</v>
      </c>
      <c r="N96" s="466">
        <v>0</v>
      </c>
      <c r="O96" s="466">
        <v>0</v>
      </c>
      <c r="P96" s="466">
        <f t="shared" si="25"/>
        <v>18000</v>
      </c>
    </row>
    <row r="97" spans="1:16">
      <c r="A97" s="18"/>
      <c r="B97" s="18" t="s">
        <v>621</v>
      </c>
      <c r="C97" s="18"/>
      <c r="D97" s="466">
        <v>0</v>
      </c>
      <c r="E97" s="466">
        <v>0</v>
      </c>
      <c r="F97" s="466">
        <v>0</v>
      </c>
      <c r="G97" s="466">
        <v>0</v>
      </c>
      <c r="H97" s="466">
        <v>0</v>
      </c>
      <c r="I97" s="466">
        <v>0</v>
      </c>
      <c r="J97" s="466">
        <v>0</v>
      </c>
      <c r="K97" s="466">
        <v>0</v>
      </c>
      <c r="L97" s="466">
        <v>0</v>
      </c>
      <c r="M97" s="466">
        <v>0</v>
      </c>
      <c r="N97" s="466">
        <v>0</v>
      </c>
      <c r="O97" s="466">
        <v>0</v>
      </c>
      <c r="P97" s="466">
        <f t="shared" si="25"/>
        <v>0</v>
      </c>
    </row>
    <row r="98" spans="1:16">
      <c r="A98" s="18"/>
      <c r="B98" s="18" t="s">
        <v>577</v>
      </c>
      <c r="C98" s="18"/>
      <c r="D98" s="466">
        <v>0</v>
      </c>
      <c r="E98" s="466">
        <v>0</v>
      </c>
      <c r="F98" s="466">
        <v>0</v>
      </c>
      <c r="G98" s="466">
        <v>0</v>
      </c>
      <c r="H98" s="466">
        <v>0</v>
      </c>
      <c r="I98" s="466">
        <v>0</v>
      </c>
      <c r="J98" s="466">
        <v>0</v>
      </c>
      <c r="K98" s="466">
        <v>0</v>
      </c>
      <c r="L98" s="466">
        <v>0</v>
      </c>
      <c r="M98" s="466">
        <v>0</v>
      </c>
      <c r="N98" s="466">
        <v>0</v>
      </c>
      <c r="O98" s="466">
        <v>0</v>
      </c>
      <c r="P98" s="466">
        <f t="shared" si="25"/>
        <v>0</v>
      </c>
    </row>
    <row r="99" spans="1:16">
      <c r="A99" s="18"/>
      <c r="B99" s="18" t="s">
        <v>578</v>
      </c>
      <c r="C99" s="18"/>
      <c r="D99" s="466">
        <v>0</v>
      </c>
      <c r="E99" s="466">
        <v>0</v>
      </c>
      <c r="F99" s="466">
        <v>0</v>
      </c>
      <c r="G99" s="466">
        <v>0</v>
      </c>
      <c r="H99" s="466">
        <v>0</v>
      </c>
      <c r="I99" s="466">
        <v>0</v>
      </c>
      <c r="J99" s="466">
        <v>0</v>
      </c>
      <c r="K99" s="466">
        <v>0</v>
      </c>
      <c r="L99" s="466">
        <v>0</v>
      </c>
      <c r="M99" s="466">
        <v>0</v>
      </c>
      <c r="N99" s="466">
        <v>0</v>
      </c>
      <c r="O99" s="466">
        <v>0</v>
      </c>
      <c r="P99" s="466">
        <f t="shared" si="25"/>
        <v>0</v>
      </c>
    </row>
    <row r="100" spans="1:16">
      <c r="A100" s="18"/>
      <c r="B100" s="18" t="s">
        <v>579</v>
      </c>
      <c r="C100" s="18"/>
      <c r="D100" s="466">
        <v>0</v>
      </c>
      <c r="E100" s="466">
        <v>0</v>
      </c>
      <c r="F100" s="466">
        <v>0</v>
      </c>
      <c r="G100" s="466">
        <v>0</v>
      </c>
      <c r="H100" s="466">
        <v>0</v>
      </c>
      <c r="I100" s="466">
        <v>0</v>
      </c>
      <c r="J100" s="466">
        <v>0</v>
      </c>
      <c r="K100" s="466">
        <v>0</v>
      </c>
      <c r="L100" s="466">
        <v>0</v>
      </c>
      <c r="M100" s="466">
        <v>0</v>
      </c>
      <c r="N100" s="466">
        <v>0</v>
      </c>
      <c r="O100" s="466">
        <v>0</v>
      </c>
      <c r="P100" s="466">
        <f t="shared" si="25"/>
        <v>0</v>
      </c>
    </row>
    <row r="101" spans="1:16">
      <c r="A101" s="18"/>
      <c r="B101" s="18" t="s">
        <v>580</v>
      </c>
      <c r="C101" s="18"/>
      <c r="D101" s="466">
        <v>0</v>
      </c>
      <c r="E101" s="466">
        <v>0</v>
      </c>
      <c r="F101" s="466">
        <v>0</v>
      </c>
      <c r="G101" s="466">
        <v>0</v>
      </c>
      <c r="H101" s="466">
        <v>0</v>
      </c>
      <c r="I101" s="466">
        <v>0</v>
      </c>
      <c r="J101" s="466">
        <v>0</v>
      </c>
      <c r="K101" s="466">
        <v>0</v>
      </c>
      <c r="L101" s="466">
        <v>0</v>
      </c>
      <c r="M101" s="466">
        <v>0</v>
      </c>
      <c r="N101" s="466">
        <v>0</v>
      </c>
      <c r="O101" s="466">
        <v>0</v>
      </c>
      <c r="P101" s="466">
        <f t="shared" si="25"/>
        <v>0</v>
      </c>
    </row>
    <row r="102" spans="1:16">
      <c r="A102" s="18"/>
      <c r="B102" s="18" t="s">
        <v>581</v>
      </c>
      <c r="C102" s="18"/>
      <c r="D102" s="466">
        <v>0</v>
      </c>
      <c r="E102" s="466">
        <v>0</v>
      </c>
      <c r="F102" s="466">
        <v>0</v>
      </c>
      <c r="G102" s="466">
        <v>0</v>
      </c>
      <c r="H102" s="466">
        <v>0</v>
      </c>
      <c r="I102" s="466">
        <v>0</v>
      </c>
      <c r="J102" s="466">
        <v>0</v>
      </c>
      <c r="K102" s="466">
        <v>0</v>
      </c>
      <c r="L102" s="466">
        <v>0</v>
      </c>
      <c r="M102" s="466">
        <v>0</v>
      </c>
      <c r="N102" s="466">
        <v>0</v>
      </c>
      <c r="O102" s="466">
        <v>0</v>
      </c>
      <c r="P102" s="466">
        <f t="shared" si="25"/>
        <v>0</v>
      </c>
    </row>
    <row r="103" spans="1:16">
      <c r="A103" s="18"/>
      <c r="B103" s="18" t="s">
        <v>650</v>
      </c>
      <c r="C103" s="18"/>
      <c r="D103" s="466"/>
      <c r="E103" s="466"/>
      <c r="F103" s="466"/>
      <c r="G103" s="466"/>
      <c r="H103" s="466">
        <v>0</v>
      </c>
      <c r="I103" s="466">
        <v>0</v>
      </c>
      <c r="J103" s="466">
        <v>0</v>
      </c>
      <c r="K103" s="466">
        <v>0</v>
      </c>
      <c r="L103" s="466">
        <v>0</v>
      </c>
      <c r="M103" s="466">
        <v>0</v>
      </c>
      <c r="N103" s="466">
        <v>0</v>
      </c>
      <c r="O103" s="466">
        <v>0</v>
      </c>
      <c r="P103" s="466">
        <f t="shared" si="25"/>
        <v>0</v>
      </c>
    </row>
    <row r="104" spans="1:16">
      <c r="A104" s="18"/>
      <c r="B104" s="18" t="s">
        <v>64</v>
      </c>
      <c r="C104" s="18"/>
      <c r="D104" s="466">
        <f>SUM(D90:D103)</f>
        <v>47956322.931999996</v>
      </c>
      <c r="E104" s="466">
        <f t="shared" ref="E104:O104" si="26">SUM(E90:E103)</f>
        <v>58056619.178000003</v>
      </c>
      <c r="F104" s="466">
        <f t="shared" si="26"/>
        <v>53700022.723000005</v>
      </c>
      <c r="G104" s="466">
        <f t="shared" si="26"/>
        <v>44746192.686999999</v>
      </c>
      <c r="H104" s="466">
        <f t="shared" si="26"/>
        <v>46251978.575000003</v>
      </c>
      <c r="I104" s="466">
        <f t="shared" si="26"/>
        <v>61418079.641249999</v>
      </c>
      <c r="J104" s="466">
        <f t="shared" si="26"/>
        <v>64333405.260629997</v>
      </c>
      <c r="K104" s="466">
        <f t="shared" si="26"/>
        <v>49144411.972029999</v>
      </c>
      <c r="L104" s="466">
        <f t="shared" si="26"/>
        <v>63310333.158</v>
      </c>
      <c r="M104" s="466">
        <f t="shared" si="26"/>
        <v>45868976.803999998</v>
      </c>
      <c r="N104" s="466">
        <f t="shared" si="26"/>
        <v>49144403.737000003</v>
      </c>
      <c r="O104" s="466">
        <f t="shared" si="26"/>
        <v>46391821.568999998</v>
      </c>
      <c r="P104" s="466">
        <f>SUM(P90:P103)</f>
        <v>630322568.2369101</v>
      </c>
    </row>
    <row r="105" spans="1:16">
      <c r="A105" s="18" t="s">
        <v>548</v>
      </c>
      <c r="B105" s="18" t="s">
        <v>583</v>
      </c>
      <c r="C105" s="18"/>
      <c r="D105" s="466">
        <v>0</v>
      </c>
      <c r="E105" s="466">
        <v>0</v>
      </c>
      <c r="F105" s="466">
        <v>0</v>
      </c>
      <c r="G105" s="466">
        <v>0</v>
      </c>
      <c r="H105" s="466">
        <v>0</v>
      </c>
      <c r="I105" s="466">
        <v>0</v>
      </c>
      <c r="J105" s="466">
        <v>0</v>
      </c>
      <c r="K105" s="466">
        <v>0</v>
      </c>
      <c r="L105" s="466">
        <v>0</v>
      </c>
      <c r="M105" s="466">
        <v>0</v>
      </c>
      <c r="N105" s="466">
        <v>0</v>
      </c>
      <c r="O105" s="466">
        <v>0</v>
      </c>
      <c r="P105" s="466">
        <f t="shared" ref="P105:P107" si="27">SUM(D105:O105)</f>
        <v>0</v>
      </c>
    </row>
    <row r="106" spans="1:16">
      <c r="A106" s="18"/>
      <c r="B106" s="18" t="s">
        <v>572</v>
      </c>
      <c r="C106" s="18"/>
      <c r="D106" s="466">
        <v>0</v>
      </c>
      <c r="E106" s="466">
        <v>0</v>
      </c>
      <c r="F106" s="466">
        <v>0</v>
      </c>
      <c r="G106" s="466">
        <v>0</v>
      </c>
      <c r="H106" s="466">
        <v>0</v>
      </c>
      <c r="I106" s="466">
        <v>0</v>
      </c>
      <c r="J106" s="466">
        <v>0</v>
      </c>
      <c r="K106" s="466">
        <v>0</v>
      </c>
      <c r="L106" s="466">
        <v>0</v>
      </c>
      <c r="M106" s="466">
        <v>0</v>
      </c>
      <c r="N106" s="466">
        <v>0</v>
      </c>
      <c r="O106" s="466">
        <v>0</v>
      </c>
      <c r="P106" s="466">
        <f t="shared" si="27"/>
        <v>0</v>
      </c>
    </row>
    <row r="107" spans="1:16">
      <c r="A107" s="18"/>
      <c r="B107" s="18" t="s">
        <v>585</v>
      </c>
      <c r="C107" s="18"/>
      <c r="D107" s="466">
        <v>0</v>
      </c>
      <c r="E107" s="466">
        <v>0</v>
      </c>
      <c r="F107" s="466">
        <v>0</v>
      </c>
      <c r="G107" s="466">
        <v>0</v>
      </c>
      <c r="H107" s="466">
        <v>0</v>
      </c>
      <c r="I107" s="466">
        <v>0</v>
      </c>
      <c r="J107" s="466">
        <v>0</v>
      </c>
      <c r="K107" s="466">
        <v>0</v>
      </c>
      <c r="L107" s="466">
        <v>0</v>
      </c>
      <c r="M107" s="466">
        <v>0</v>
      </c>
      <c r="N107" s="466">
        <v>0</v>
      </c>
      <c r="O107" s="466">
        <v>0</v>
      </c>
      <c r="P107" s="466">
        <f t="shared" si="27"/>
        <v>0</v>
      </c>
    </row>
    <row r="108" spans="1:16">
      <c r="A108" s="18"/>
      <c r="B108" s="18" t="s">
        <v>573</v>
      </c>
      <c r="C108" s="18"/>
      <c r="D108" s="466">
        <v>3643634.307</v>
      </c>
      <c r="E108" s="466">
        <v>4132478.2373299999</v>
      </c>
      <c r="F108" s="466">
        <v>3942469.5196699998</v>
      </c>
      <c r="G108" s="466">
        <v>3604875.5983299999</v>
      </c>
      <c r="H108" s="466">
        <v>4549549.87</v>
      </c>
      <c r="I108" s="466">
        <v>7235204.1567299999</v>
      </c>
      <c r="J108" s="466">
        <v>7660964.1321799997</v>
      </c>
      <c r="K108" s="466">
        <v>6093455.9603800001</v>
      </c>
      <c r="L108" s="466">
        <v>7077212.0423299996</v>
      </c>
      <c r="M108" s="466">
        <v>4986191.0913300002</v>
      </c>
      <c r="N108" s="466">
        <v>4665922.6276700003</v>
      </c>
      <c r="O108" s="466">
        <v>3578162.3953399998</v>
      </c>
      <c r="P108" s="466">
        <f>SUM(D108:O108)</f>
        <v>61170119.93829</v>
      </c>
    </row>
    <row r="109" spans="1:16">
      <c r="A109" s="18"/>
      <c r="B109" s="18" t="s">
        <v>574</v>
      </c>
      <c r="C109" s="18"/>
      <c r="D109" s="466">
        <v>477857.18800000002</v>
      </c>
      <c r="E109" s="466">
        <v>716612.52766999998</v>
      </c>
      <c r="F109" s="466">
        <v>649256.03532999998</v>
      </c>
      <c r="G109" s="466">
        <v>447304.47467000003</v>
      </c>
      <c r="H109" s="466">
        <v>656755.853</v>
      </c>
      <c r="I109" s="466">
        <v>1245056.4923400001</v>
      </c>
      <c r="J109" s="466">
        <v>1440891.7516699999</v>
      </c>
      <c r="K109" s="466">
        <v>936291.91666999995</v>
      </c>
      <c r="L109" s="466">
        <v>1119900.83467</v>
      </c>
      <c r="M109" s="466">
        <v>630569.97767000005</v>
      </c>
      <c r="N109" s="466">
        <v>532661.52933000005</v>
      </c>
      <c r="O109" s="466">
        <v>407177.93466000003</v>
      </c>
      <c r="P109" s="466">
        <f t="shared" ref="P109:P118" si="28">SUM(D109:O109)</f>
        <v>9260336.5156800002</v>
      </c>
    </row>
    <row r="110" spans="1:16">
      <c r="A110" s="18"/>
      <c r="B110" s="18" t="s">
        <v>571</v>
      </c>
      <c r="C110" s="18"/>
      <c r="D110" s="466">
        <v>0</v>
      </c>
      <c r="E110" s="466">
        <v>0</v>
      </c>
      <c r="F110" s="466">
        <v>0</v>
      </c>
      <c r="G110" s="466">
        <v>0</v>
      </c>
      <c r="H110" s="466">
        <v>0</v>
      </c>
      <c r="I110" s="466">
        <v>0</v>
      </c>
      <c r="J110" s="466">
        <v>0</v>
      </c>
      <c r="K110" s="466">
        <v>0</v>
      </c>
      <c r="L110" s="466">
        <v>0</v>
      </c>
      <c r="M110" s="466">
        <v>0</v>
      </c>
      <c r="N110" s="466">
        <v>0</v>
      </c>
      <c r="O110" s="466">
        <v>0</v>
      </c>
      <c r="P110" s="466">
        <f t="shared" si="28"/>
        <v>0</v>
      </c>
    </row>
    <row r="111" spans="1:16">
      <c r="A111" s="18"/>
      <c r="B111" s="18" t="s">
        <v>576</v>
      </c>
      <c r="C111" s="18"/>
      <c r="D111" s="466">
        <v>0</v>
      </c>
      <c r="E111" s="466">
        <v>0</v>
      </c>
      <c r="F111" s="466">
        <v>0</v>
      </c>
      <c r="G111" s="466">
        <v>0</v>
      </c>
      <c r="H111" s="466">
        <v>0</v>
      </c>
      <c r="I111" s="466">
        <v>0</v>
      </c>
      <c r="J111" s="466">
        <v>0</v>
      </c>
      <c r="K111" s="466">
        <v>0</v>
      </c>
      <c r="L111" s="466">
        <v>0</v>
      </c>
      <c r="M111" s="466">
        <v>0</v>
      </c>
      <c r="N111" s="466">
        <v>0</v>
      </c>
      <c r="O111" s="466">
        <v>0</v>
      </c>
      <c r="P111" s="466">
        <f t="shared" si="28"/>
        <v>0</v>
      </c>
    </row>
    <row r="112" spans="1:16">
      <c r="A112" s="18"/>
      <c r="B112" s="18" t="s">
        <v>621</v>
      </c>
      <c r="C112" s="18"/>
      <c r="D112" s="466">
        <v>0</v>
      </c>
      <c r="E112" s="466">
        <v>0</v>
      </c>
      <c r="F112" s="466">
        <v>0</v>
      </c>
      <c r="G112" s="466">
        <v>0</v>
      </c>
      <c r="H112" s="466">
        <v>0</v>
      </c>
      <c r="I112" s="466">
        <v>0</v>
      </c>
      <c r="J112" s="466">
        <v>0</v>
      </c>
      <c r="K112" s="466">
        <v>0</v>
      </c>
      <c r="L112" s="466">
        <v>0</v>
      </c>
      <c r="M112" s="466">
        <v>0</v>
      </c>
      <c r="N112" s="466">
        <v>0</v>
      </c>
      <c r="O112" s="466">
        <v>0</v>
      </c>
      <c r="P112" s="466">
        <f t="shared" si="28"/>
        <v>0</v>
      </c>
    </row>
    <row r="113" spans="1:17">
      <c r="A113" s="18"/>
      <c r="B113" s="18" t="s">
        <v>577</v>
      </c>
      <c r="C113" s="18"/>
      <c r="D113" s="466">
        <v>0</v>
      </c>
      <c r="E113" s="466">
        <v>0</v>
      </c>
      <c r="F113" s="466">
        <v>0</v>
      </c>
      <c r="G113" s="466">
        <v>0</v>
      </c>
      <c r="H113" s="466">
        <v>0</v>
      </c>
      <c r="I113" s="466">
        <v>0</v>
      </c>
      <c r="J113" s="466">
        <v>0</v>
      </c>
      <c r="K113" s="466">
        <v>0</v>
      </c>
      <c r="L113" s="466">
        <v>0</v>
      </c>
      <c r="M113" s="466">
        <v>0</v>
      </c>
      <c r="N113" s="466">
        <v>0</v>
      </c>
      <c r="O113" s="466">
        <v>0</v>
      </c>
      <c r="P113" s="466">
        <f t="shared" si="28"/>
        <v>0</v>
      </c>
    </row>
    <row r="114" spans="1:17">
      <c r="A114" s="18"/>
      <c r="B114" s="18" t="s">
        <v>578</v>
      </c>
      <c r="C114" s="18"/>
      <c r="D114" s="466">
        <v>0</v>
      </c>
      <c r="E114" s="466">
        <v>0</v>
      </c>
      <c r="F114" s="466">
        <v>0</v>
      </c>
      <c r="G114" s="466">
        <v>0</v>
      </c>
      <c r="H114" s="466">
        <v>0</v>
      </c>
      <c r="I114" s="466">
        <v>0</v>
      </c>
      <c r="J114" s="466">
        <v>0</v>
      </c>
      <c r="K114" s="466">
        <v>0</v>
      </c>
      <c r="L114" s="466">
        <v>0</v>
      </c>
      <c r="M114" s="466">
        <v>0</v>
      </c>
      <c r="N114" s="466">
        <v>0</v>
      </c>
      <c r="O114" s="466">
        <v>0</v>
      </c>
      <c r="P114" s="466">
        <f t="shared" si="28"/>
        <v>0</v>
      </c>
    </row>
    <row r="115" spans="1:17">
      <c r="A115" s="18"/>
      <c r="B115" s="18" t="s">
        <v>579</v>
      </c>
      <c r="C115" s="18"/>
      <c r="D115" s="466">
        <v>0</v>
      </c>
      <c r="E115" s="466">
        <v>0</v>
      </c>
      <c r="F115" s="466">
        <v>0</v>
      </c>
      <c r="G115" s="466">
        <v>0</v>
      </c>
      <c r="H115" s="466">
        <v>0</v>
      </c>
      <c r="I115" s="466">
        <v>0</v>
      </c>
      <c r="J115" s="466">
        <v>0</v>
      </c>
      <c r="K115" s="466">
        <v>0</v>
      </c>
      <c r="L115" s="466">
        <v>0</v>
      </c>
      <c r="M115" s="466">
        <v>0</v>
      </c>
      <c r="N115" s="466">
        <v>0</v>
      </c>
      <c r="O115" s="466">
        <v>0</v>
      </c>
      <c r="P115" s="466">
        <f t="shared" si="28"/>
        <v>0</v>
      </c>
    </row>
    <row r="116" spans="1:17">
      <c r="A116" s="18"/>
      <c r="B116" s="18" t="s">
        <v>580</v>
      </c>
      <c r="C116" s="18"/>
      <c r="D116" s="466">
        <v>0</v>
      </c>
      <c r="E116" s="466">
        <v>0</v>
      </c>
      <c r="F116" s="466">
        <v>0</v>
      </c>
      <c r="G116" s="466">
        <v>0</v>
      </c>
      <c r="H116" s="466">
        <v>0</v>
      </c>
      <c r="I116" s="466">
        <v>0</v>
      </c>
      <c r="J116" s="466">
        <v>0</v>
      </c>
      <c r="K116" s="466">
        <v>0</v>
      </c>
      <c r="L116" s="466">
        <v>0</v>
      </c>
      <c r="M116" s="466">
        <v>0</v>
      </c>
      <c r="N116" s="466">
        <v>0</v>
      </c>
      <c r="O116" s="466">
        <v>0</v>
      </c>
      <c r="P116" s="466">
        <f t="shared" si="28"/>
        <v>0</v>
      </c>
    </row>
    <row r="117" spans="1:17">
      <c r="A117" s="18"/>
      <c r="B117" s="18" t="s">
        <v>581</v>
      </c>
      <c r="C117" s="18"/>
      <c r="D117" s="466">
        <v>0</v>
      </c>
      <c r="E117" s="466">
        <v>0</v>
      </c>
      <c r="F117" s="466">
        <v>0</v>
      </c>
      <c r="G117" s="466">
        <v>0</v>
      </c>
      <c r="H117" s="466">
        <v>0</v>
      </c>
      <c r="I117" s="466">
        <v>0</v>
      </c>
      <c r="J117" s="466">
        <v>0</v>
      </c>
      <c r="K117" s="466">
        <v>0</v>
      </c>
      <c r="L117" s="466">
        <v>0</v>
      </c>
      <c r="M117" s="466">
        <v>0</v>
      </c>
      <c r="N117" s="466">
        <v>0</v>
      </c>
      <c r="O117" s="466">
        <v>0</v>
      </c>
      <c r="P117" s="466">
        <f t="shared" si="28"/>
        <v>0</v>
      </c>
    </row>
    <row r="118" spans="1:17">
      <c r="A118" s="18"/>
      <c r="B118" s="18" t="s">
        <v>650</v>
      </c>
      <c r="C118" s="18"/>
      <c r="D118" s="466"/>
      <c r="E118" s="466"/>
      <c r="F118" s="466"/>
      <c r="G118" s="466"/>
      <c r="H118" s="466">
        <v>0</v>
      </c>
      <c r="I118" s="466">
        <v>0</v>
      </c>
      <c r="J118" s="466">
        <v>0</v>
      </c>
      <c r="K118" s="466">
        <v>0</v>
      </c>
      <c r="L118" s="466">
        <v>0</v>
      </c>
      <c r="M118" s="466">
        <v>0</v>
      </c>
      <c r="N118" s="466">
        <v>0</v>
      </c>
      <c r="O118" s="466">
        <v>0</v>
      </c>
      <c r="P118" s="466">
        <f t="shared" si="28"/>
        <v>0</v>
      </c>
    </row>
    <row r="119" spans="1:17">
      <c r="A119" s="18"/>
      <c r="B119" s="18" t="s">
        <v>64</v>
      </c>
      <c r="C119" s="18"/>
      <c r="D119" s="466">
        <f>SUM(D105:D118)</f>
        <v>4121491.4950000001</v>
      </c>
      <c r="E119" s="466">
        <f t="shared" ref="E119:O119" si="29">SUM(E105:E118)</f>
        <v>4849090.7649999997</v>
      </c>
      <c r="F119" s="466">
        <f t="shared" si="29"/>
        <v>4591725.5549999997</v>
      </c>
      <c r="G119" s="466">
        <f t="shared" si="29"/>
        <v>4052180.0729999999</v>
      </c>
      <c r="H119" s="466">
        <f t="shared" si="29"/>
        <v>5206305.7230000002</v>
      </c>
      <c r="I119" s="466">
        <f t="shared" si="29"/>
        <v>8480260.6490700003</v>
      </c>
      <c r="J119" s="466">
        <f t="shared" si="29"/>
        <v>9101855.8838499989</v>
      </c>
      <c r="K119" s="466">
        <f t="shared" si="29"/>
        <v>7029747.8770500002</v>
      </c>
      <c r="L119" s="466">
        <f t="shared" si="29"/>
        <v>8197112.8769999994</v>
      </c>
      <c r="M119" s="466">
        <f t="shared" si="29"/>
        <v>5616761.0690000001</v>
      </c>
      <c r="N119" s="466">
        <f t="shared" si="29"/>
        <v>5198584.1570000006</v>
      </c>
      <c r="O119" s="466">
        <f t="shared" si="29"/>
        <v>3985340.33</v>
      </c>
      <c r="P119" s="466">
        <f>SUM(P105:P118)</f>
        <v>70430456.45397</v>
      </c>
    </row>
    <row r="120" spans="1:17" s="554" customFormat="1">
      <c r="A120" s="18">
        <v>13</v>
      </c>
      <c r="B120" s="18" t="s">
        <v>583</v>
      </c>
      <c r="C120" s="18"/>
      <c r="D120" s="466">
        <v>0</v>
      </c>
      <c r="E120" s="466">
        <v>0</v>
      </c>
      <c r="F120" s="466">
        <v>0</v>
      </c>
      <c r="G120" s="466">
        <v>0</v>
      </c>
      <c r="H120" s="466">
        <v>0</v>
      </c>
      <c r="I120" s="466">
        <v>0</v>
      </c>
      <c r="J120" s="466">
        <v>0</v>
      </c>
      <c r="K120" s="466">
        <v>0</v>
      </c>
      <c r="L120" s="466">
        <v>0</v>
      </c>
      <c r="M120" s="466">
        <v>0</v>
      </c>
      <c r="N120" s="466">
        <v>0</v>
      </c>
      <c r="O120" s="466">
        <v>0</v>
      </c>
      <c r="P120" s="466">
        <f t="shared" ref="P120:P122" si="30">SUM(D120:O120)</f>
        <v>0</v>
      </c>
      <c r="Q120" s="636"/>
    </row>
    <row r="121" spans="1:17" s="554" customFormat="1">
      <c r="A121" s="18"/>
      <c r="B121" s="18" t="s">
        <v>572</v>
      </c>
      <c r="C121" s="18"/>
      <c r="D121" s="466">
        <v>0</v>
      </c>
      <c r="E121" s="466">
        <v>0</v>
      </c>
      <c r="F121" s="466">
        <v>0</v>
      </c>
      <c r="G121" s="466">
        <v>0</v>
      </c>
      <c r="H121" s="466">
        <v>0</v>
      </c>
      <c r="I121" s="466">
        <v>0</v>
      </c>
      <c r="J121" s="466">
        <v>0</v>
      </c>
      <c r="K121" s="466">
        <v>0</v>
      </c>
      <c r="L121" s="466">
        <v>0</v>
      </c>
      <c r="M121" s="466">
        <v>0</v>
      </c>
      <c r="N121" s="466">
        <v>0</v>
      </c>
      <c r="O121" s="466">
        <v>0</v>
      </c>
      <c r="P121" s="466">
        <f t="shared" si="30"/>
        <v>0</v>
      </c>
      <c r="Q121" s="636"/>
    </row>
    <row r="122" spans="1:17" s="554" customFormat="1">
      <c r="A122" s="18"/>
      <c r="B122" s="18" t="s">
        <v>585</v>
      </c>
      <c r="C122" s="18"/>
      <c r="D122" s="466">
        <v>0</v>
      </c>
      <c r="E122" s="466">
        <v>0</v>
      </c>
      <c r="F122" s="466">
        <v>0</v>
      </c>
      <c r="G122" s="466">
        <v>0</v>
      </c>
      <c r="H122" s="466">
        <v>0</v>
      </c>
      <c r="I122" s="466">
        <v>0</v>
      </c>
      <c r="J122" s="466">
        <v>0</v>
      </c>
      <c r="K122" s="466">
        <v>0</v>
      </c>
      <c r="L122" s="466">
        <v>0</v>
      </c>
      <c r="M122" s="466">
        <v>0</v>
      </c>
      <c r="N122" s="466">
        <v>0</v>
      </c>
      <c r="O122" s="466">
        <v>0</v>
      </c>
      <c r="P122" s="466">
        <f t="shared" si="30"/>
        <v>0</v>
      </c>
    </row>
    <row r="123" spans="1:17" s="554" customFormat="1">
      <c r="A123" s="18"/>
      <c r="B123" s="18" t="s">
        <v>573</v>
      </c>
      <c r="C123" s="18"/>
      <c r="D123" s="466">
        <v>24591.119999999999</v>
      </c>
      <c r="E123" s="466">
        <v>28632.75</v>
      </c>
      <c r="F123" s="466">
        <v>31423.89</v>
      </c>
      <c r="G123" s="466">
        <v>34138.83</v>
      </c>
      <c r="H123" s="466">
        <v>25962.47</v>
      </c>
      <c r="I123" s="466">
        <v>22047.439999999999</v>
      </c>
      <c r="J123" s="466">
        <v>24113.73</v>
      </c>
      <c r="K123" s="466">
        <v>20235.900000000001</v>
      </c>
      <c r="L123" s="466">
        <v>28153.02</v>
      </c>
      <c r="M123" s="466">
        <v>34788.879999999997</v>
      </c>
      <c r="N123" s="466">
        <v>43286.62</v>
      </c>
      <c r="O123" s="466">
        <v>53242.720000000001</v>
      </c>
      <c r="P123" s="466">
        <f>SUM(D123:O123)</f>
        <v>370617.37</v>
      </c>
    </row>
    <row r="124" spans="1:17" s="554" customFormat="1">
      <c r="A124" s="18"/>
      <c r="B124" s="18" t="s">
        <v>574</v>
      </c>
      <c r="C124" s="18"/>
      <c r="D124" s="466">
        <v>0</v>
      </c>
      <c r="E124" s="466">
        <v>0</v>
      </c>
      <c r="F124" s="466">
        <v>0</v>
      </c>
      <c r="G124" s="466">
        <v>0</v>
      </c>
      <c r="H124" s="466">
        <v>0</v>
      </c>
      <c r="I124" s="466">
        <v>0</v>
      </c>
      <c r="J124" s="466">
        <v>0</v>
      </c>
      <c r="K124" s="466">
        <v>0</v>
      </c>
      <c r="L124" s="466">
        <v>0</v>
      </c>
      <c r="M124" s="466">
        <v>0</v>
      </c>
      <c r="N124" s="466">
        <v>0</v>
      </c>
      <c r="O124" s="466">
        <v>0</v>
      </c>
      <c r="P124" s="466">
        <f t="shared" ref="P124:P133" si="31">SUM(D124:O124)</f>
        <v>0</v>
      </c>
    </row>
    <row r="125" spans="1:17" s="554" customFormat="1">
      <c r="A125" s="18"/>
      <c r="B125" s="18" t="s">
        <v>571</v>
      </c>
      <c r="C125" s="18"/>
      <c r="D125" s="466">
        <v>0</v>
      </c>
      <c r="E125" s="466">
        <v>-503</v>
      </c>
      <c r="F125" s="466">
        <v>291</v>
      </c>
      <c r="G125" s="466">
        <v>211</v>
      </c>
      <c r="H125" s="466">
        <v>0</v>
      </c>
      <c r="I125" s="466">
        <v>0</v>
      </c>
      <c r="J125" s="466">
        <v>0</v>
      </c>
      <c r="K125" s="466">
        <v>0</v>
      </c>
      <c r="L125" s="466">
        <v>0</v>
      </c>
      <c r="M125" s="466">
        <v>0</v>
      </c>
      <c r="N125" s="466">
        <v>0</v>
      </c>
      <c r="O125" s="466">
        <v>0</v>
      </c>
      <c r="P125" s="466">
        <f t="shared" si="31"/>
        <v>-1</v>
      </c>
    </row>
    <row r="126" spans="1:17" s="554" customFormat="1">
      <c r="A126" s="18"/>
      <c r="B126" s="18" t="s">
        <v>576</v>
      </c>
      <c r="C126" s="18"/>
      <c r="D126" s="466">
        <v>0</v>
      </c>
      <c r="E126" s="466">
        <v>0</v>
      </c>
      <c r="F126" s="466">
        <v>0</v>
      </c>
      <c r="G126" s="466">
        <v>0</v>
      </c>
      <c r="H126" s="466">
        <v>0</v>
      </c>
      <c r="I126" s="466">
        <v>0</v>
      </c>
      <c r="J126" s="466">
        <v>0</v>
      </c>
      <c r="K126" s="466">
        <v>0</v>
      </c>
      <c r="L126" s="466">
        <v>0</v>
      </c>
      <c r="M126" s="466">
        <v>0</v>
      </c>
      <c r="N126" s="466">
        <v>0</v>
      </c>
      <c r="O126" s="466">
        <v>0</v>
      </c>
      <c r="P126" s="466">
        <f t="shared" si="31"/>
        <v>0</v>
      </c>
    </row>
    <row r="127" spans="1:17" s="554" customFormat="1">
      <c r="A127" s="18"/>
      <c r="B127" s="18" t="s">
        <v>621</v>
      </c>
      <c r="C127" s="18"/>
      <c r="D127" s="466">
        <v>0</v>
      </c>
      <c r="E127" s="466">
        <v>0</v>
      </c>
      <c r="F127" s="466">
        <v>0</v>
      </c>
      <c r="G127" s="466">
        <v>0</v>
      </c>
      <c r="H127" s="466">
        <v>0</v>
      </c>
      <c r="I127" s="466">
        <v>0</v>
      </c>
      <c r="J127" s="466">
        <v>0</v>
      </c>
      <c r="K127" s="466">
        <v>0</v>
      </c>
      <c r="L127" s="466">
        <v>0</v>
      </c>
      <c r="M127" s="466">
        <v>0</v>
      </c>
      <c r="N127" s="466">
        <v>0</v>
      </c>
      <c r="O127" s="466">
        <v>0</v>
      </c>
      <c r="P127" s="466">
        <f t="shared" si="31"/>
        <v>0</v>
      </c>
    </row>
    <row r="128" spans="1:17" s="554" customFormat="1">
      <c r="A128" s="18"/>
      <c r="B128" s="18" t="s">
        <v>577</v>
      </c>
      <c r="C128" s="18"/>
      <c r="D128" s="466">
        <v>0</v>
      </c>
      <c r="E128" s="466">
        <v>0</v>
      </c>
      <c r="F128" s="466">
        <v>0</v>
      </c>
      <c r="G128" s="466">
        <v>0</v>
      </c>
      <c r="H128" s="466">
        <v>0</v>
      </c>
      <c r="I128" s="466">
        <v>0</v>
      </c>
      <c r="J128" s="466">
        <v>0</v>
      </c>
      <c r="K128" s="466">
        <v>0</v>
      </c>
      <c r="L128" s="466">
        <v>0</v>
      </c>
      <c r="M128" s="466">
        <v>0</v>
      </c>
      <c r="N128" s="466">
        <v>0</v>
      </c>
      <c r="O128" s="466">
        <v>0</v>
      </c>
      <c r="P128" s="466">
        <f t="shared" si="31"/>
        <v>0</v>
      </c>
    </row>
    <row r="129" spans="1:16" s="554" customFormat="1">
      <c r="A129" s="18"/>
      <c r="B129" s="18" t="s">
        <v>578</v>
      </c>
      <c r="C129" s="18"/>
      <c r="D129" s="466">
        <v>0</v>
      </c>
      <c r="E129" s="466">
        <v>0</v>
      </c>
      <c r="F129" s="466">
        <v>0</v>
      </c>
      <c r="G129" s="466">
        <v>0</v>
      </c>
      <c r="H129" s="466">
        <v>0</v>
      </c>
      <c r="I129" s="466">
        <v>0</v>
      </c>
      <c r="J129" s="466">
        <v>0</v>
      </c>
      <c r="K129" s="466">
        <v>0</v>
      </c>
      <c r="L129" s="466">
        <v>0</v>
      </c>
      <c r="M129" s="466">
        <v>0</v>
      </c>
      <c r="N129" s="466">
        <v>0</v>
      </c>
      <c r="O129" s="466">
        <v>0</v>
      </c>
      <c r="P129" s="466">
        <f t="shared" si="31"/>
        <v>0</v>
      </c>
    </row>
    <row r="130" spans="1:16" s="554" customFormat="1">
      <c r="A130" s="18"/>
      <c r="B130" s="18" t="s">
        <v>579</v>
      </c>
      <c r="C130" s="18"/>
      <c r="D130" s="466">
        <v>0</v>
      </c>
      <c r="E130" s="466">
        <v>0</v>
      </c>
      <c r="F130" s="466">
        <v>0</v>
      </c>
      <c r="G130" s="466">
        <v>0</v>
      </c>
      <c r="H130" s="466">
        <v>0</v>
      </c>
      <c r="I130" s="466">
        <v>0</v>
      </c>
      <c r="J130" s="466">
        <v>0</v>
      </c>
      <c r="K130" s="466">
        <v>0</v>
      </c>
      <c r="L130" s="466">
        <v>0</v>
      </c>
      <c r="M130" s="466">
        <v>0</v>
      </c>
      <c r="N130" s="466">
        <v>0</v>
      </c>
      <c r="O130" s="466">
        <v>0</v>
      </c>
      <c r="P130" s="466">
        <f t="shared" si="31"/>
        <v>0</v>
      </c>
    </row>
    <row r="131" spans="1:16" s="554" customFormat="1">
      <c r="A131" s="18"/>
      <c r="B131" s="18" t="s">
        <v>580</v>
      </c>
      <c r="C131" s="18"/>
      <c r="D131" s="466">
        <v>0</v>
      </c>
      <c r="E131" s="466">
        <v>0</v>
      </c>
      <c r="F131" s="466">
        <v>0</v>
      </c>
      <c r="G131" s="466">
        <v>0</v>
      </c>
      <c r="H131" s="466">
        <v>0</v>
      </c>
      <c r="I131" s="466">
        <v>0</v>
      </c>
      <c r="J131" s="466">
        <v>0</v>
      </c>
      <c r="K131" s="466">
        <v>0</v>
      </c>
      <c r="L131" s="466">
        <v>0</v>
      </c>
      <c r="M131" s="466">
        <v>0</v>
      </c>
      <c r="N131" s="466">
        <v>0</v>
      </c>
      <c r="O131" s="466">
        <v>0</v>
      </c>
      <c r="P131" s="466">
        <f t="shared" si="31"/>
        <v>0</v>
      </c>
    </row>
    <row r="132" spans="1:16" s="554" customFormat="1">
      <c r="A132" s="18"/>
      <c r="B132" s="18" t="s">
        <v>581</v>
      </c>
      <c r="C132" s="18"/>
      <c r="D132" s="466">
        <v>0</v>
      </c>
      <c r="E132" s="466">
        <v>0</v>
      </c>
      <c r="F132" s="466">
        <v>0</v>
      </c>
      <c r="G132" s="466">
        <v>0</v>
      </c>
      <c r="H132" s="466">
        <v>0</v>
      </c>
      <c r="I132" s="466">
        <v>0</v>
      </c>
      <c r="J132" s="466">
        <v>0</v>
      </c>
      <c r="K132" s="466">
        <v>0</v>
      </c>
      <c r="L132" s="466">
        <v>0</v>
      </c>
      <c r="M132" s="466">
        <v>0</v>
      </c>
      <c r="N132" s="466">
        <v>0</v>
      </c>
      <c r="O132" s="466">
        <v>0</v>
      </c>
      <c r="P132" s="466">
        <f t="shared" si="31"/>
        <v>0</v>
      </c>
    </row>
    <row r="133" spans="1:16" s="554" customFormat="1">
      <c r="A133" s="18"/>
      <c r="B133" s="18" t="s">
        <v>650</v>
      </c>
      <c r="C133" s="18"/>
      <c r="D133" s="466"/>
      <c r="E133" s="466"/>
      <c r="F133" s="466"/>
      <c r="G133" s="466"/>
      <c r="H133" s="466">
        <v>0</v>
      </c>
      <c r="I133" s="466">
        <v>0</v>
      </c>
      <c r="J133" s="466">
        <v>0</v>
      </c>
      <c r="K133" s="466">
        <v>0</v>
      </c>
      <c r="L133" s="466">
        <v>0</v>
      </c>
      <c r="M133" s="466">
        <v>0</v>
      </c>
      <c r="N133" s="466">
        <v>0</v>
      </c>
      <c r="O133" s="466">
        <v>0</v>
      </c>
      <c r="P133" s="466">
        <f t="shared" si="31"/>
        <v>0</v>
      </c>
    </row>
    <row r="134" spans="1:16" s="554" customFormat="1">
      <c r="A134" s="18"/>
      <c r="B134" s="18" t="s">
        <v>64</v>
      </c>
      <c r="C134" s="18"/>
      <c r="D134" s="466">
        <f>SUM(D120:D133)</f>
        <v>24591.119999999999</v>
      </c>
      <c r="E134" s="466">
        <f t="shared" ref="E134:O134" si="32">SUM(E120:E133)</f>
        <v>28129.75</v>
      </c>
      <c r="F134" s="466">
        <f t="shared" si="32"/>
        <v>31714.89</v>
      </c>
      <c r="G134" s="466">
        <f t="shared" si="32"/>
        <v>34349.83</v>
      </c>
      <c r="H134" s="466">
        <f t="shared" si="32"/>
        <v>25962.47</v>
      </c>
      <c r="I134" s="466">
        <f t="shared" si="32"/>
        <v>22047.439999999999</v>
      </c>
      <c r="J134" s="466">
        <f t="shared" si="32"/>
        <v>24113.73</v>
      </c>
      <c r="K134" s="466">
        <f t="shared" si="32"/>
        <v>20235.900000000001</v>
      </c>
      <c r="L134" s="466">
        <f t="shared" si="32"/>
        <v>28153.02</v>
      </c>
      <c r="M134" s="466">
        <f t="shared" si="32"/>
        <v>34788.879999999997</v>
      </c>
      <c r="N134" s="466">
        <f t="shared" si="32"/>
        <v>43286.62</v>
      </c>
      <c r="O134" s="466">
        <f t="shared" si="32"/>
        <v>53242.720000000001</v>
      </c>
      <c r="P134" s="466">
        <f>SUM(P120:P133)</f>
        <v>370616.37</v>
      </c>
    </row>
    <row r="135" spans="1:16">
      <c r="A135" s="18" t="s">
        <v>550</v>
      </c>
      <c r="B135" s="18" t="s">
        <v>572</v>
      </c>
      <c r="C135" s="18"/>
      <c r="D135" s="466">
        <v>0</v>
      </c>
      <c r="E135" s="466">
        <v>0</v>
      </c>
      <c r="F135" s="466">
        <v>0</v>
      </c>
      <c r="G135" s="466">
        <v>0</v>
      </c>
      <c r="H135" s="466">
        <v>0</v>
      </c>
      <c r="I135" s="466">
        <v>0</v>
      </c>
      <c r="J135" s="466">
        <v>0</v>
      </c>
      <c r="K135" s="466">
        <v>0</v>
      </c>
      <c r="L135" s="466">
        <v>0</v>
      </c>
      <c r="M135" s="466">
        <v>0</v>
      </c>
      <c r="N135" s="466">
        <v>0</v>
      </c>
      <c r="O135" s="466">
        <v>0</v>
      </c>
      <c r="P135" s="466">
        <f t="shared" ref="P135:P137" si="33">SUM(D135:O135)</f>
        <v>0</v>
      </c>
    </row>
    <row r="136" spans="1:16">
      <c r="A136" s="18"/>
      <c r="B136" s="18" t="s">
        <v>584</v>
      </c>
      <c r="C136" s="18"/>
      <c r="D136" s="466">
        <v>0</v>
      </c>
      <c r="E136" s="466">
        <v>0</v>
      </c>
      <c r="F136" s="466">
        <v>0</v>
      </c>
      <c r="G136" s="466">
        <v>0</v>
      </c>
      <c r="H136" s="466">
        <v>0</v>
      </c>
      <c r="I136" s="466">
        <v>0</v>
      </c>
      <c r="J136" s="466">
        <v>0</v>
      </c>
      <c r="K136" s="466">
        <v>0</v>
      </c>
      <c r="L136" s="466">
        <v>0</v>
      </c>
      <c r="M136" s="466">
        <v>0</v>
      </c>
      <c r="N136" s="466">
        <v>0</v>
      </c>
      <c r="O136" s="466">
        <v>0</v>
      </c>
      <c r="P136" s="466">
        <f t="shared" si="33"/>
        <v>0</v>
      </c>
    </row>
    <row r="137" spans="1:16">
      <c r="A137" s="18"/>
      <c r="B137" s="18" t="s">
        <v>585</v>
      </c>
      <c r="C137" s="18"/>
      <c r="D137" s="466">
        <v>0</v>
      </c>
      <c r="E137" s="466">
        <v>0</v>
      </c>
      <c r="F137" s="466">
        <v>0</v>
      </c>
      <c r="G137" s="466">
        <v>0</v>
      </c>
      <c r="H137" s="466">
        <v>0</v>
      </c>
      <c r="I137" s="466">
        <v>0</v>
      </c>
      <c r="J137" s="466">
        <v>0</v>
      </c>
      <c r="K137" s="466">
        <v>0</v>
      </c>
      <c r="L137" s="466">
        <v>0</v>
      </c>
      <c r="M137" s="466">
        <v>0</v>
      </c>
      <c r="N137" s="466">
        <v>0</v>
      </c>
      <c r="O137" s="466">
        <v>0</v>
      </c>
      <c r="P137" s="466">
        <f t="shared" si="33"/>
        <v>0</v>
      </c>
    </row>
    <row r="138" spans="1:16">
      <c r="A138" s="18"/>
      <c r="B138" s="18" t="s">
        <v>573</v>
      </c>
      <c r="C138" s="18"/>
      <c r="D138" s="466">
        <v>94034890.673999995</v>
      </c>
      <c r="E138" s="466">
        <v>103477569.352</v>
      </c>
      <c r="F138" s="466">
        <v>99544840.254999995</v>
      </c>
      <c r="G138" s="466">
        <v>92488693.644999996</v>
      </c>
      <c r="H138" s="466">
        <v>90136312.475999996</v>
      </c>
      <c r="I138" s="466">
        <v>103076325.53200001</v>
      </c>
      <c r="J138" s="466">
        <v>104418152.99135</v>
      </c>
      <c r="K138" s="466">
        <v>77240791.408329993</v>
      </c>
      <c r="L138" s="466">
        <v>111604179.82466</v>
      </c>
      <c r="M138" s="466">
        <v>83450095.218999997</v>
      </c>
      <c r="N138" s="466">
        <v>96432346.870000005</v>
      </c>
      <c r="O138" s="466">
        <v>92836688.415000007</v>
      </c>
      <c r="P138" s="466">
        <f>SUM(D138:O138)</f>
        <v>1148740886.6623399</v>
      </c>
    </row>
    <row r="139" spans="1:16">
      <c r="A139" s="18"/>
      <c r="B139" s="18" t="s">
        <v>574</v>
      </c>
      <c r="C139" s="18"/>
      <c r="D139" s="466">
        <v>12627026.499</v>
      </c>
      <c r="E139" s="466">
        <v>17276666.181000002</v>
      </c>
      <c r="F139" s="466">
        <v>14987825.739</v>
      </c>
      <c r="G139" s="466">
        <v>11052568.51</v>
      </c>
      <c r="H139" s="466">
        <v>9646407.1439999994</v>
      </c>
      <c r="I139" s="466">
        <v>14158754.790999999</v>
      </c>
      <c r="J139" s="466">
        <v>12637641.853669999</v>
      </c>
      <c r="K139" s="466">
        <v>8474367.7976699993</v>
      </c>
      <c r="L139" s="466">
        <v>12520349.32834</v>
      </c>
      <c r="M139" s="466">
        <v>8232346.5130000003</v>
      </c>
      <c r="N139" s="466">
        <v>10618475.960000001</v>
      </c>
      <c r="O139" s="466">
        <v>11754363.051999999</v>
      </c>
      <c r="P139" s="466">
        <f t="shared" ref="P139:P148" si="34">SUM(D139:O139)</f>
        <v>143986793.36867997</v>
      </c>
    </row>
    <row r="140" spans="1:16">
      <c r="A140" s="18"/>
      <c r="B140" s="18" t="s">
        <v>571</v>
      </c>
      <c r="C140" s="18"/>
      <c r="D140" s="466">
        <v>0</v>
      </c>
      <c r="E140" s="466">
        <v>0</v>
      </c>
      <c r="F140" s="466">
        <v>0</v>
      </c>
      <c r="G140" s="466">
        <v>0</v>
      </c>
      <c r="H140" s="466">
        <v>0</v>
      </c>
      <c r="I140" s="466">
        <v>0</v>
      </c>
      <c r="J140" s="466">
        <v>0</v>
      </c>
      <c r="K140" s="466">
        <v>0</v>
      </c>
      <c r="L140" s="466">
        <v>0</v>
      </c>
      <c r="M140" s="466">
        <v>0</v>
      </c>
      <c r="N140" s="466">
        <v>0</v>
      </c>
      <c r="O140" s="466">
        <v>0</v>
      </c>
      <c r="P140" s="466">
        <f t="shared" si="34"/>
        <v>0</v>
      </c>
    </row>
    <row r="141" spans="1:16">
      <c r="A141" s="18"/>
      <c r="B141" s="18" t="s">
        <v>586</v>
      </c>
      <c r="C141" s="18"/>
      <c r="D141" s="466">
        <v>0</v>
      </c>
      <c r="E141" s="466">
        <v>0</v>
      </c>
      <c r="F141" s="466">
        <v>0</v>
      </c>
      <c r="G141" s="466">
        <v>0</v>
      </c>
      <c r="H141" s="466">
        <v>0</v>
      </c>
      <c r="I141" s="466">
        <v>0</v>
      </c>
      <c r="J141" s="466">
        <v>0</v>
      </c>
      <c r="K141" s="466">
        <v>0</v>
      </c>
      <c r="L141" s="466">
        <v>0</v>
      </c>
      <c r="M141" s="466">
        <v>0</v>
      </c>
      <c r="N141" s="466">
        <v>0</v>
      </c>
      <c r="O141" s="466">
        <v>0</v>
      </c>
      <c r="P141" s="466">
        <f t="shared" si="34"/>
        <v>0</v>
      </c>
    </row>
    <row r="142" spans="1:16">
      <c r="A142" s="18"/>
      <c r="B142" s="18" t="s">
        <v>621</v>
      </c>
      <c r="C142" s="18"/>
      <c r="D142" s="466">
        <v>0</v>
      </c>
      <c r="E142" s="466">
        <v>0</v>
      </c>
      <c r="F142" s="466">
        <v>0</v>
      </c>
      <c r="G142" s="466">
        <v>0</v>
      </c>
      <c r="H142" s="466">
        <v>0</v>
      </c>
      <c r="I142" s="466">
        <v>0</v>
      </c>
      <c r="J142" s="466">
        <v>0</v>
      </c>
      <c r="K142" s="466">
        <v>0</v>
      </c>
      <c r="L142" s="466">
        <v>0</v>
      </c>
      <c r="M142" s="466">
        <v>0</v>
      </c>
      <c r="N142" s="466">
        <v>0</v>
      </c>
      <c r="O142" s="466">
        <v>0</v>
      </c>
      <c r="P142" s="466">
        <f t="shared" si="34"/>
        <v>0</v>
      </c>
    </row>
    <row r="143" spans="1:16">
      <c r="A143" s="18"/>
      <c r="B143" s="18" t="s">
        <v>577</v>
      </c>
      <c r="C143" s="18"/>
      <c r="D143" s="466">
        <v>0</v>
      </c>
      <c r="E143" s="466">
        <v>0</v>
      </c>
      <c r="F143" s="466">
        <v>0</v>
      </c>
      <c r="G143" s="466">
        <v>0</v>
      </c>
      <c r="H143" s="466">
        <v>0</v>
      </c>
      <c r="I143" s="466">
        <v>0</v>
      </c>
      <c r="J143" s="466">
        <v>0</v>
      </c>
      <c r="K143" s="466">
        <v>0</v>
      </c>
      <c r="L143" s="466">
        <v>0</v>
      </c>
      <c r="M143" s="466">
        <v>0</v>
      </c>
      <c r="N143" s="466">
        <v>0</v>
      </c>
      <c r="O143" s="466">
        <v>0</v>
      </c>
      <c r="P143" s="466">
        <f t="shared" si="34"/>
        <v>0</v>
      </c>
    </row>
    <row r="144" spans="1:16">
      <c r="A144" s="18"/>
      <c r="B144" s="18" t="s">
        <v>578</v>
      </c>
      <c r="C144" s="18"/>
      <c r="D144" s="466">
        <v>0</v>
      </c>
      <c r="E144" s="466">
        <v>0</v>
      </c>
      <c r="F144" s="466">
        <v>0</v>
      </c>
      <c r="G144" s="466">
        <v>0</v>
      </c>
      <c r="H144" s="466">
        <v>0</v>
      </c>
      <c r="I144" s="466">
        <v>0</v>
      </c>
      <c r="J144" s="466">
        <v>0</v>
      </c>
      <c r="K144" s="466">
        <v>0</v>
      </c>
      <c r="L144" s="466">
        <v>0</v>
      </c>
      <c r="M144" s="466">
        <v>0</v>
      </c>
      <c r="N144" s="466">
        <v>0</v>
      </c>
      <c r="O144" s="466">
        <v>0</v>
      </c>
      <c r="P144" s="466">
        <f t="shared" si="34"/>
        <v>0</v>
      </c>
    </row>
    <row r="145" spans="1:16">
      <c r="A145" s="18"/>
      <c r="B145" s="18" t="s">
        <v>579</v>
      </c>
      <c r="C145" s="18"/>
      <c r="D145" s="466">
        <v>0</v>
      </c>
      <c r="E145" s="466">
        <v>0</v>
      </c>
      <c r="F145" s="466">
        <v>0</v>
      </c>
      <c r="G145" s="466">
        <v>0</v>
      </c>
      <c r="H145" s="466">
        <v>0</v>
      </c>
      <c r="I145" s="466">
        <v>0</v>
      </c>
      <c r="J145" s="466">
        <v>0</v>
      </c>
      <c r="K145" s="466">
        <v>0</v>
      </c>
      <c r="L145" s="466">
        <v>0</v>
      </c>
      <c r="M145" s="466">
        <v>0</v>
      </c>
      <c r="N145" s="466">
        <v>0</v>
      </c>
      <c r="O145" s="466">
        <v>0</v>
      </c>
      <c r="P145" s="466">
        <f t="shared" si="34"/>
        <v>0</v>
      </c>
    </row>
    <row r="146" spans="1:16">
      <c r="A146" s="18"/>
      <c r="B146" s="18" t="s">
        <v>580</v>
      </c>
      <c r="C146" s="18"/>
      <c r="D146" s="466">
        <v>0</v>
      </c>
      <c r="E146" s="466">
        <v>0</v>
      </c>
      <c r="F146" s="466">
        <v>0</v>
      </c>
      <c r="G146" s="466">
        <v>0</v>
      </c>
      <c r="H146" s="466">
        <v>0</v>
      </c>
      <c r="I146" s="466">
        <v>0</v>
      </c>
      <c r="J146" s="466">
        <v>0</v>
      </c>
      <c r="K146" s="466">
        <v>0</v>
      </c>
      <c r="L146" s="466">
        <v>0</v>
      </c>
      <c r="M146" s="466">
        <v>0</v>
      </c>
      <c r="N146" s="466">
        <v>0</v>
      </c>
      <c r="O146" s="466">
        <v>0</v>
      </c>
      <c r="P146" s="466">
        <f t="shared" si="34"/>
        <v>0</v>
      </c>
    </row>
    <row r="147" spans="1:16">
      <c r="A147" s="18"/>
      <c r="B147" s="18" t="s">
        <v>581</v>
      </c>
      <c r="C147" s="18"/>
      <c r="D147" s="466">
        <v>0</v>
      </c>
      <c r="E147" s="466">
        <v>0</v>
      </c>
      <c r="F147" s="466">
        <v>0</v>
      </c>
      <c r="G147" s="466">
        <v>0</v>
      </c>
      <c r="H147" s="466">
        <v>0</v>
      </c>
      <c r="I147" s="466">
        <v>0</v>
      </c>
      <c r="J147" s="466">
        <v>0</v>
      </c>
      <c r="K147" s="466">
        <v>0</v>
      </c>
      <c r="L147" s="466">
        <v>0</v>
      </c>
      <c r="M147" s="466">
        <v>0</v>
      </c>
      <c r="N147" s="466">
        <v>0</v>
      </c>
      <c r="O147" s="466">
        <v>0</v>
      </c>
      <c r="P147" s="466">
        <f t="shared" si="34"/>
        <v>0</v>
      </c>
    </row>
    <row r="148" spans="1:16">
      <c r="A148" s="18"/>
      <c r="B148" s="18" t="s">
        <v>650</v>
      </c>
      <c r="C148" s="18"/>
      <c r="D148" s="466"/>
      <c r="E148" s="466"/>
      <c r="F148" s="466"/>
      <c r="G148" s="466"/>
      <c r="H148" s="466">
        <v>0</v>
      </c>
      <c r="I148" s="466">
        <v>0</v>
      </c>
      <c r="J148" s="466">
        <v>0</v>
      </c>
      <c r="K148" s="466">
        <v>0</v>
      </c>
      <c r="L148" s="466">
        <v>0</v>
      </c>
      <c r="M148" s="466">
        <v>0</v>
      </c>
      <c r="N148" s="466">
        <v>0</v>
      </c>
      <c r="O148" s="466">
        <v>0</v>
      </c>
      <c r="P148" s="466">
        <f t="shared" si="34"/>
        <v>0</v>
      </c>
    </row>
    <row r="149" spans="1:16">
      <c r="A149" s="18"/>
      <c r="B149" s="18" t="s">
        <v>64</v>
      </c>
      <c r="C149" s="18"/>
      <c r="D149" s="466">
        <f>SUM(D135:D148)</f>
        <v>106661917.17299999</v>
      </c>
      <c r="E149" s="466">
        <f t="shared" ref="E149:O149" si="35">SUM(E135:E148)</f>
        <v>120754235.53299999</v>
      </c>
      <c r="F149" s="466">
        <f t="shared" si="35"/>
        <v>114532665.99399999</v>
      </c>
      <c r="G149" s="466">
        <f t="shared" si="35"/>
        <v>103541262.155</v>
      </c>
      <c r="H149" s="466">
        <f t="shared" si="35"/>
        <v>99782719.61999999</v>
      </c>
      <c r="I149" s="466">
        <f t="shared" si="35"/>
        <v>117235080.323</v>
      </c>
      <c r="J149" s="466">
        <f t="shared" si="35"/>
        <v>117055794.84502</v>
      </c>
      <c r="K149" s="466">
        <f t="shared" si="35"/>
        <v>85715159.206</v>
      </c>
      <c r="L149" s="466">
        <f t="shared" si="35"/>
        <v>124124529.153</v>
      </c>
      <c r="M149" s="466">
        <f t="shared" si="35"/>
        <v>91682441.731999993</v>
      </c>
      <c r="N149" s="466">
        <f t="shared" si="35"/>
        <v>107050822.83000001</v>
      </c>
      <c r="O149" s="466">
        <f t="shared" si="35"/>
        <v>104591051.46700001</v>
      </c>
      <c r="P149" s="466">
        <f>SUM(P135:P148)</f>
        <v>1292727680.0310199</v>
      </c>
    </row>
    <row r="150" spans="1:16">
      <c r="A150" s="18" t="s">
        <v>551</v>
      </c>
      <c r="B150" s="18" t="s">
        <v>572</v>
      </c>
      <c r="C150" s="18"/>
      <c r="D150" s="466">
        <v>0</v>
      </c>
      <c r="E150" s="466">
        <v>0</v>
      </c>
      <c r="F150" s="466">
        <v>0</v>
      </c>
      <c r="G150" s="466">
        <v>0</v>
      </c>
      <c r="H150" s="466">
        <v>0</v>
      </c>
      <c r="I150" s="466">
        <v>0</v>
      </c>
      <c r="J150" s="466">
        <v>0</v>
      </c>
      <c r="K150" s="466">
        <v>0</v>
      </c>
      <c r="L150" s="466">
        <v>0</v>
      </c>
      <c r="M150" s="466">
        <v>0</v>
      </c>
      <c r="N150" s="466">
        <v>0</v>
      </c>
      <c r="O150" s="466">
        <v>0</v>
      </c>
      <c r="P150" s="466">
        <v>0</v>
      </c>
    </row>
    <row r="151" spans="1:16">
      <c r="A151" s="18"/>
      <c r="B151" s="18" t="s">
        <v>585</v>
      </c>
      <c r="C151" s="18"/>
      <c r="D151" s="466">
        <v>0</v>
      </c>
      <c r="E151" s="466">
        <v>0</v>
      </c>
      <c r="F151" s="466">
        <v>0</v>
      </c>
      <c r="G151" s="466">
        <v>0</v>
      </c>
      <c r="H151" s="466">
        <v>0</v>
      </c>
      <c r="I151" s="466">
        <v>0</v>
      </c>
      <c r="J151" s="466">
        <v>0</v>
      </c>
      <c r="K151" s="466">
        <v>0</v>
      </c>
      <c r="L151" s="466">
        <v>0</v>
      </c>
      <c r="M151" s="466">
        <v>0</v>
      </c>
      <c r="N151" s="466">
        <v>0</v>
      </c>
      <c r="O151" s="466">
        <v>0</v>
      </c>
      <c r="P151" s="466">
        <v>0</v>
      </c>
    </row>
    <row r="152" spans="1:16">
      <c r="A152" s="18"/>
      <c r="B152" s="18" t="s">
        <v>573</v>
      </c>
      <c r="C152" s="18"/>
      <c r="D152" s="466">
        <v>2134799.3199999998</v>
      </c>
      <c r="E152" s="466">
        <v>2616608.16</v>
      </c>
      <c r="F152" s="466">
        <v>2496626.6</v>
      </c>
      <c r="G152" s="466">
        <v>2080405.16</v>
      </c>
      <c r="H152" s="466">
        <v>2147597.84</v>
      </c>
      <c r="I152" s="466">
        <v>3697305.3</v>
      </c>
      <c r="J152" s="466">
        <v>3815974.56</v>
      </c>
      <c r="K152" s="466">
        <v>3176820.78</v>
      </c>
      <c r="L152" s="466">
        <v>3242051.54</v>
      </c>
      <c r="M152" s="466">
        <v>2602097.42</v>
      </c>
      <c r="N152" s="466">
        <v>2405498.06</v>
      </c>
      <c r="O152" s="466">
        <v>2116917.42</v>
      </c>
      <c r="P152" s="466">
        <f>SUM(D152:O152)</f>
        <v>32532702.159999996</v>
      </c>
    </row>
    <row r="153" spans="1:16">
      <c r="A153" s="18"/>
      <c r="B153" s="18" t="s">
        <v>574</v>
      </c>
      <c r="C153" s="18"/>
      <c r="D153" s="466">
        <v>0</v>
      </c>
      <c r="E153" s="466">
        <v>0</v>
      </c>
      <c r="F153" s="466">
        <v>20546</v>
      </c>
      <c r="G153" s="466">
        <v>0</v>
      </c>
      <c r="H153" s="466">
        <v>0</v>
      </c>
      <c r="I153" s="466">
        <v>3139.28</v>
      </c>
      <c r="J153" s="466">
        <v>56046.32</v>
      </c>
      <c r="K153" s="466">
        <v>55229.84</v>
      </c>
      <c r="L153" s="466">
        <v>0</v>
      </c>
      <c r="M153" s="466">
        <v>0</v>
      </c>
      <c r="N153" s="466">
        <v>0</v>
      </c>
      <c r="O153" s="466">
        <v>0</v>
      </c>
      <c r="P153" s="466">
        <f>SUM(D153:O153)</f>
        <v>134961.44</v>
      </c>
    </row>
    <row r="154" spans="1:16">
      <c r="A154" s="18"/>
      <c r="B154" s="18" t="s">
        <v>571</v>
      </c>
      <c r="C154" s="18"/>
      <c r="D154" s="466">
        <v>0</v>
      </c>
      <c r="E154" s="466">
        <v>0</v>
      </c>
      <c r="F154" s="466">
        <v>0</v>
      </c>
      <c r="G154" s="466">
        <v>0</v>
      </c>
      <c r="H154" s="466">
        <v>0</v>
      </c>
      <c r="I154" s="466">
        <v>0</v>
      </c>
      <c r="J154" s="466">
        <v>0</v>
      </c>
      <c r="K154" s="466">
        <v>0</v>
      </c>
      <c r="L154" s="466">
        <v>0</v>
      </c>
      <c r="M154" s="466">
        <v>0</v>
      </c>
      <c r="N154" s="466">
        <v>0</v>
      </c>
      <c r="O154" s="466">
        <v>0</v>
      </c>
      <c r="P154" s="466">
        <v>0</v>
      </c>
    </row>
    <row r="155" spans="1:16">
      <c r="A155" s="18"/>
      <c r="B155" s="18" t="s">
        <v>576</v>
      </c>
      <c r="C155" s="18"/>
      <c r="D155" s="466">
        <v>0</v>
      </c>
      <c r="E155" s="466">
        <v>0</v>
      </c>
      <c r="F155" s="466">
        <v>0</v>
      </c>
      <c r="G155" s="466">
        <v>0</v>
      </c>
      <c r="H155" s="466">
        <v>0</v>
      </c>
      <c r="I155" s="466">
        <v>0</v>
      </c>
      <c r="J155" s="466">
        <v>0</v>
      </c>
      <c r="K155" s="466">
        <v>0</v>
      </c>
      <c r="L155" s="466">
        <v>0</v>
      </c>
      <c r="M155" s="466">
        <v>0</v>
      </c>
      <c r="N155" s="466">
        <v>0</v>
      </c>
      <c r="O155" s="466">
        <v>0</v>
      </c>
      <c r="P155" s="466">
        <v>0</v>
      </c>
    </row>
    <row r="156" spans="1:16">
      <c r="A156" s="18"/>
      <c r="B156" s="18" t="s">
        <v>621</v>
      </c>
      <c r="C156" s="18"/>
      <c r="D156" s="466">
        <v>0</v>
      </c>
      <c r="E156" s="466">
        <v>0</v>
      </c>
      <c r="F156" s="466">
        <v>0</v>
      </c>
      <c r="G156" s="466">
        <v>0</v>
      </c>
      <c r="H156" s="466">
        <v>0</v>
      </c>
      <c r="I156" s="466">
        <v>0</v>
      </c>
      <c r="J156" s="466">
        <v>0</v>
      </c>
      <c r="K156" s="466">
        <v>0</v>
      </c>
      <c r="L156" s="466">
        <v>0</v>
      </c>
      <c r="M156" s="466">
        <v>0</v>
      </c>
      <c r="N156" s="466">
        <v>0</v>
      </c>
      <c r="O156" s="466">
        <v>0</v>
      </c>
      <c r="P156" s="466">
        <v>0</v>
      </c>
    </row>
    <row r="157" spans="1:16">
      <c r="A157" s="18"/>
      <c r="B157" s="18" t="s">
        <v>577</v>
      </c>
      <c r="C157" s="18"/>
      <c r="D157" s="466">
        <v>0</v>
      </c>
      <c r="E157" s="466">
        <v>0</v>
      </c>
      <c r="F157" s="466">
        <v>0</v>
      </c>
      <c r="G157" s="466">
        <v>0</v>
      </c>
      <c r="H157" s="466">
        <v>0</v>
      </c>
      <c r="I157" s="466">
        <v>0</v>
      </c>
      <c r="J157" s="466">
        <v>0</v>
      </c>
      <c r="K157" s="466">
        <v>0</v>
      </c>
      <c r="L157" s="466">
        <v>0</v>
      </c>
      <c r="M157" s="466">
        <v>0</v>
      </c>
      <c r="N157" s="466">
        <v>0</v>
      </c>
      <c r="O157" s="466">
        <v>0</v>
      </c>
      <c r="P157" s="466">
        <v>0</v>
      </c>
    </row>
    <row r="158" spans="1:16">
      <c r="A158" s="18"/>
      <c r="B158" s="18" t="s">
        <v>578</v>
      </c>
      <c r="C158" s="18"/>
      <c r="D158" s="466">
        <v>0</v>
      </c>
      <c r="E158" s="466">
        <v>0</v>
      </c>
      <c r="F158" s="466">
        <v>0</v>
      </c>
      <c r="G158" s="466">
        <v>0</v>
      </c>
      <c r="H158" s="466">
        <v>0</v>
      </c>
      <c r="I158" s="466">
        <v>0</v>
      </c>
      <c r="J158" s="466">
        <v>0</v>
      </c>
      <c r="K158" s="466">
        <v>0</v>
      </c>
      <c r="L158" s="466">
        <v>0</v>
      </c>
      <c r="M158" s="466">
        <v>0</v>
      </c>
      <c r="N158" s="466">
        <v>0</v>
      </c>
      <c r="O158" s="466">
        <v>0</v>
      </c>
      <c r="P158" s="466">
        <v>0</v>
      </c>
    </row>
    <row r="159" spans="1:16">
      <c r="A159" s="18"/>
      <c r="B159" s="18" t="s">
        <v>579</v>
      </c>
      <c r="C159" s="18"/>
      <c r="D159" s="466">
        <v>0</v>
      </c>
      <c r="E159" s="466">
        <v>0</v>
      </c>
      <c r="F159" s="466">
        <v>0</v>
      </c>
      <c r="G159" s="466">
        <v>0</v>
      </c>
      <c r="H159" s="466">
        <v>0</v>
      </c>
      <c r="I159" s="466">
        <v>0</v>
      </c>
      <c r="J159" s="466">
        <v>0</v>
      </c>
      <c r="K159" s="466">
        <v>0</v>
      </c>
      <c r="L159" s="466">
        <v>0</v>
      </c>
      <c r="M159" s="466">
        <v>0</v>
      </c>
      <c r="N159" s="466">
        <v>0</v>
      </c>
      <c r="O159" s="466">
        <v>0</v>
      </c>
      <c r="P159" s="466">
        <v>0</v>
      </c>
    </row>
    <row r="160" spans="1:16">
      <c r="A160" s="18"/>
      <c r="B160" s="18" t="s">
        <v>580</v>
      </c>
      <c r="C160" s="18"/>
      <c r="D160" s="466">
        <v>0</v>
      </c>
      <c r="E160" s="466">
        <v>0</v>
      </c>
      <c r="F160" s="466">
        <v>0</v>
      </c>
      <c r="G160" s="466">
        <v>0</v>
      </c>
      <c r="H160" s="466">
        <v>0</v>
      </c>
      <c r="I160" s="466">
        <v>0</v>
      </c>
      <c r="J160" s="466">
        <v>0</v>
      </c>
      <c r="K160" s="466">
        <v>0</v>
      </c>
      <c r="L160" s="466">
        <v>0</v>
      </c>
      <c r="M160" s="466">
        <v>0</v>
      </c>
      <c r="N160" s="466">
        <v>0</v>
      </c>
      <c r="O160" s="466">
        <v>0</v>
      </c>
      <c r="P160" s="466">
        <v>0</v>
      </c>
    </row>
    <row r="161" spans="1:17">
      <c r="A161" s="18"/>
      <c r="B161" s="18" t="s">
        <v>581</v>
      </c>
      <c r="C161" s="18"/>
      <c r="D161" s="466">
        <v>0</v>
      </c>
      <c r="E161" s="466">
        <v>0</v>
      </c>
      <c r="F161" s="466">
        <v>0</v>
      </c>
      <c r="G161" s="466">
        <v>0</v>
      </c>
      <c r="H161" s="466">
        <v>0</v>
      </c>
      <c r="I161" s="466">
        <v>0</v>
      </c>
      <c r="J161" s="466">
        <v>0</v>
      </c>
      <c r="K161" s="466">
        <v>0</v>
      </c>
      <c r="L161" s="466">
        <v>0</v>
      </c>
      <c r="M161" s="466">
        <v>0</v>
      </c>
      <c r="N161" s="466">
        <v>0</v>
      </c>
      <c r="O161" s="466">
        <v>0</v>
      </c>
      <c r="P161" s="466">
        <v>0</v>
      </c>
    </row>
    <row r="162" spans="1:17">
      <c r="A162" s="18"/>
      <c r="B162" s="18" t="s">
        <v>584</v>
      </c>
      <c r="C162" s="18"/>
      <c r="D162" s="466"/>
      <c r="E162" s="466"/>
      <c r="F162" s="466"/>
      <c r="G162" s="466"/>
      <c r="H162" s="466">
        <v>0</v>
      </c>
      <c r="I162" s="466">
        <v>0</v>
      </c>
      <c r="J162" s="466">
        <v>0</v>
      </c>
      <c r="K162" s="466">
        <v>0</v>
      </c>
      <c r="L162" s="466">
        <v>0</v>
      </c>
      <c r="M162" s="466">
        <v>0</v>
      </c>
      <c r="N162" s="466">
        <v>0</v>
      </c>
      <c r="O162" s="466">
        <v>0</v>
      </c>
      <c r="P162" s="466">
        <v>0</v>
      </c>
    </row>
    <row r="163" spans="1:17">
      <c r="A163" s="18"/>
      <c r="B163" s="18" t="s">
        <v>650</v>
      </c>
      <c r="C163" s="18"/>
      <c r="D163" s="466"/>
      <c r="E163" s="466"/>
      <c r="F163" s="466"/>
      <c r="G163" s="466"/>
      <c r="H163" s="466">
        <v>0</v>
      </c>
      <c r="I163" s="466">
        <v>0</v>
      </c>
      <c r="J163" s="466">
        <v>0</v>
      </c>
      <c r="K163" s="466">
        <v>0</v>
      </c>
      <c r="L163" s="466">
        <v>0</v>
      </c>
      <c r="M163" s="466">
        <v>0</v>
      </c>
      <c r="N163" s="466">
        <v>0</v>
      </c>
      <c r="O163" s="466">
        <v>0</v>
      </c>
      <c r="P163" s="466">
        <v>0</v>
      </c>
    </row>
    <row r="164" spans="1:17">
      <c r="A164" s="18"/>
      <c r="B164" s="18" t="s">
        <v>64</v>
      </c>
      <c r="C164" s="18"/>
      <c r="D164" s="466">
        <f>SUM(D150:D163)</f>
        <v>2134799.3199999998</v>
      </c>
      <c r="E164" s="466">
        <f t="shared" ref="E164:O164" si="36">SUM(E150:E163)</f>
        <v>2616608.16</v>
      </c>
      <c r="F164" s="466">
        <f t="shared" si="36"/>
        <v>2517172.6</v>
      </c>
      <c r="G164" s="466">
        <f t="shared" si="36"/>
        <v>2080405.16</v>
      </c>
      <c r="H164" s="466">
        <f t="shared" si="36"/>
        <v>2147597.84</v>
      </c>
      <c r="I164" s="466">
        <f t="shared" si="36"/>
        <v>3700444.5799999996</v>
      </c>
      <c r="J164" s="466">
        <f t="shared" si="36"/>
        <v>3872020.88</v>
      </c>
      <c r="K164" s="466">
        <f t="shared" si="36"/>
        <v>3232050.6199999996</v>
      </c>
      <c r="L164" s="466">
        <f t="shared" si="36"/>
        <v>3242051.54</v>
      </c>
      <c r="M164" s="466">
        <f t="shared" si="36"/>
        <v>2602097.42</v>
      </c>
      <c r="N164" s="466">
        <f t="shared" si="36"/>
        <v>2405498.06</v>
      </c>
      <c r="O164" s="466">
        <f t="shared" si="36"/>
        <v>2116917.42</v>
      </c>
      <c r="P164" s="466">
        <f>SUM(P150:P163)</f>
        <v>32667663.599999998</v>
      </c>
    </row>
    <row r="165" spans="1:17" s="554" customFormat="1">
      <c r="A165" s="18">
        <v>23</v>
      </c>
      <c r="B165" s="18" t="s">
        <v>572</v>
      </c>
      <c r="C165" s="18"/>
      <c r="D165" s="466">
        <v>0</v>
      </c>
      <c r="E165" s="466">
        <v>0</v>
      </c>
      <c r="F165" s="466">
        <v>0</v>
      </c>
      <c r="G165" s="466">
        <v>0</v>
      </c>
      <c r="H165" s="466">
        <v>0</v>
      </c>
      <c r="I165" s="466">
        <v>0</v>
      </c>
      <c r="J165" s="466">
        <v>0</v>
      </c>
      <c r="K165" s="466">
        <v>0</v>
      </c>
      <c r="L165" s="466">
        <v>0</v>
      </c>
      <c r="M165" s="466">
        <v>0</v>
      </c>
      <c r="N165" s="466">
        <v>0</v>
      </c>
      <c r="O165" s="466">
        <v>0</v>
      </c>
      <c r="P165" s="466">
        <v>0</v>
      </c>
      <c r="Q165" s="636"/>
    </row>
    <row r="166" spans="1:17" s="554" customFormat="1">
      <c r="A166" s="18"/>
      <c r="B166" s="18" t="s">
        <v>585</v>
      </c>
      <c r="C166" s="18"/>
      <c r="D166" s="466">
        <v>0</v>
      </c>
      <c r="E166" s="466">
        <v>0</v>
      </c>
      <c r="F166" s="466">
        <v>0</v>
      </c>
      <c r="G166" s="466">
        <v>0</v>
      </c>
      <c r="H166" s="466">
        <v>0</v>
      </c>
      <c r="I166" s="466">
        <v>0</v>
      </c>
      <c r="J166" s="466">
        <v>0</v>
      </c>
      <c r="K166" s="466">
        <v>0</v>
      </c>
      <c r="L166" s="466">
        <v>0</v>
      </c>
      <c r="M166" s="466">
        <v>0</v>
      </c>
      <c r="N166" s="466">
        <v>0</v>
      </c>
      <c r="O166" s="466">
        <v>0</v>
      </c>
      <c r="P166" s="466">
        <v>0</v>
      </c>
      <c r="Q166" s="636"/>
    </row>
    <row r="167" spans="1:17" s="554" customFormat="1">
      <c r="A167" s="18"/>
      <c r="B167" s="18" t="s">
        <v>573</v>
      </c>
      <c r="C167" s="18"/>
      <c r="D167" s="466">
        <v>23864.6</v>
      </c>
      <c r="E167" s="466">
        <v>19275.009999999998</v>
      </c>
      <c r="F167" s="466">
        <v>12887.93</v>
      </c>
      <c r="G167" s="466">
        <v>17128.64</v>
      </c>
      <c r="H167" s="466">
        <v>26353.360000000001</v>
      </c>
      <c r="I167" s="466">
        <v>18179.060000000001</v>
      </c>
      <c r="J167" s="466">
        <v>53826.03</v>
      </c>
      <c r="K167" s="466">
        <v>0</v>
      </c>
      <c r="L167" s="466">
        <v>141125.35999999999</v>
      </c>
      <c r="M167" s="466">
        <v>21888.12</v>
      </c>
      <c r="N167" s="466">
        <v>78707.48</v>
      </c>
      <c r="O167" s="466">
        <v>38407.839999999997</v>
      </c>
      <c r="P167" s="466">
        <f>SUM(D167:O167)</f>
        <v>451643.42999999993</v>
      </c>
    </row>
    <row r="168" spans="1:17" s="554" customFormat="1">
      <c r="A168" s="18"/>
      <c r="B168" s="18" t="s">
        <v>574</v>
      </c>
      <c r="C168" s="18"/>
      <c r="D168" s="466">
        <v>0</v>
      </c>
      <c r="E168" s="466">
        <v>0</v>
      </c>
      <c r="F168" s="466">
        <v>0</v>
      </c>
      <c r="G168" s="466">
        <v>0</v>
      </c>
      <c r="H168" s="466">
        <v>0</v>
      </c>
      <c r="I168" s="466">
        <v>0</v>
      </c>
      <c r="J168" s="466">
        <v>0</v>
      </c>
      <c r="K168" s="466">
        <v>0</v>
      </c>
      <c r="L168" s="466">
        <v>0</v>
      </c>
      <c r="M168" s="466">
        <v>0</v>
      </c>
      <c r="N168" s="466">
        <v>0</v>
      </c>
      <c r="O168" s="466">
        <v>0</v>
      </c>
      <c r="P168" s="466">
        <f t="shared" ref="P168:P171" si="37">SUM(D168:O168)</f>
        <v>0</v>
      </c>
    </row>
    <row r="169" spans="1:17" s="554" customFormat="1">
      <c r="A169" s="18"/>
      <c r="B169" s="18" t="s">
        <v>571</v>
      </c>
      <c r="C169" s="18"/>
      <c r="D169" s="466">
        <v>0</v>
      </c>
      <c r="E169" s="466">
        <v>-2</v>
      </c>
      <c r="F169" s="466">
        <v>0</v>
      </c>
      <c r="G169" s="466">
        <v>0</v>
      </c>
      <c r="H169" s="466">
        <v>0</v>
      </c>
      <c r="I169" s="466">
        <v>0</v>
      </c>
      <c r="J169" s="466">
        <v>0</v>
      </c>
      <c r="K169" s="466">
        <v>0</v>
      </c>
      <c r="L169" s="466">
        <v>0</v>
      </c>
      <c r="M169" s="466">
        <v>0</v>
      </c>
      <c r="N169" s="466">
        <v>0</v>
      </c>
      <c r="O169" s="466">
        <v>0</v>
      </c>
      <c r="P169" s="466">
        <f t="shared" si="37"/>
        <v>-2</v>
      </c>
    </row>
    <row r="170" spans="1:17" s="554" customFormat="1">
      <c r="A170" s="18"/>
      <c r="B170" s="18" t="s">
        <v>576</v>
      </c>
      <c r="C170" s="18"/>
      <c r="D170" s="466">
        <v>0</v>
      </c>
      <c r="E170" s="466">
        <v>0</v>
      </c>
      <c r="F170" s="466">
        <v>0</v>
      </c>
      <c r="G170" s="466">
        <v>0</v>
      </c>
      <c r="H170" s="466">
        <v>0</v>
      </c>
      <c r="I170" s="466">
        <v>0</v>
      </c>
      <c r="J170" s="466">
        <v>0</v>
      </c>
      <c r="K170" s="466">
        <v>0</v>
      </c>
      <c r="L170" s="466">
        <v>0</v>
      </c>
      <c r="M170" s="466">
        <v>0</v>
      </c>
      <c r="N170" s="466">
        <v>0</v>
      </c>
      <c r="O170" s="466">
        <v>0</v>
      </c>
      <c r="P170" s="466">
        <f t="shared" si="37"/>
        <v>0</v>
      </c>
    </row>
    <row r="171" spans="1:17" s="554" customFormat="1">
      <c r="A171" s="18"/>
      <c r="B171" s="18" t="s">
        <v>621</v>
      </c>
      <c r="C171" s="18"/>
      <c r="D171" s="466">
        <v>0</v>
      </c>
      <c r="E171" s="466">
        <v>0</v>
      </c>
      <c r="F171" s="466">
        <v>0</v>
      </c>
      <c r="G171" s="466">
        <v>0</v>
      </c>
      <c r="H171" s="466">
        <v>0</v>
      </c>
      <c r="I171" s="466">
        <v>0</v>
      </c>
      <c r="J171" s="466">
        <v>0</v>
      </c>
      <c r="K171" s="466">
        <v>0</v>
      </c>
      <c r="L171" s="466">
        <v>0</v>
      </c>
      <c r="M171" s="466">
        <v>0</v>
      </c>
      <c r="N171" s="466">
        <v>0</v>
      </c>
      <c r="O171" s="466">
        <v>0</v>
      </c>
      <c r="P171" s="466">
        <f t="shared" si="37"/>
        <v>0</v>
      </c>
    </row>
    <row r="172" spans="1:17" s="554" customFormat="1">
      <c r="A172" s="18"/>
      <c r="B172" s="18" t="s">
        <v>577</v>
      </c>
      <c r="C172" s="18"/>
      <c r="D172" s="466">
        <v>0</v>
      </c>
      <c r="E172" s="466">
        <v>0</v>
      </c>
      <c r="F172" s="466">
        <v>0</v>
      </c>
      <c r="G172" s="466">
        <v>0</v>
      </c>
      <c r="H172" s="466">
        <v>0</v>
      </c>
      <c r="I172" s="466">
        <v>0</v>
      </c>
      <c r="J172" s="466">
        <v>0</v>
      </c>
      <c r="K172" s="466">
        <v>0</v>
      </c>
      <c r="L172" s="466">
        <v>0</v>
      </c>
      <c r="M172" s="466">
        <v>0</v>
      </c>
      <c r="N172" s="466">
        <v>0</v>
      </c>
      <c r="O172" s="466">
        <v>0</v>
      </c>
      <c r="P172" s="466">
        <v>0</v>
      </c>
    </row>
    <row r="173" spans="1:17" s="554" customFormat="1">
      <c r="A173" s="18"/>
      <c r="B173" s="18" t="s">
        <v>578</v>
      </c>
      <c r="C173" s="18"/>
      <c r="D173" s="466">
        <v>0</v>
      </c>
      <c r="E173" s="466">
        <v>0</v>
      </c>
      <c r="F173" s="466">
        <v>0</v>
      </c>
      <c r="G173" s="466">
        <v>0</v>
      </c>
      <c r="H173" s="466">
        <v>0</v>
      </c>
      <c r="I173" s="466">
        <v>0</v>
      </c>
      <c r="J173" s="466">
        <v>0</v>
      </c>
      <c r="K173" s="466">
        <v>0</v>
      </c>
      <c r="L173" s="466">
        <v>0</v>
      </c>
      <c r="M173" s="466">
        <v>0</v>
      </c>
      <c r="N173" s="466">
        <v>0</v>
      </c>
      <c r="O173" s="466">
        <v>0</v>
      </c>
      <c r="P173" s="466">
        <v>0</v>
      </c>
    </row>
    <row r="174" spans="1:17" s="554" customFormat="1">
      <c r="A174" s="18"/>
      <c r="B174" s="18" t="s">
        <v>579</v>
      </c>
      <c r="C174" s="18"/>
      <c r="D174" s="466">
        <v>0</v>
      </c>
      <c r="E174" s="466">
        <v>0</v>
      </c>
      <c r="F174" s="466">
        <v>0</v>
      </c>
      <c r="G174" s="466">
        <v>0</v>
      </c>
      <c r="H174" s="466">
        <v>0</v>
      </c>
      <c r="I174" s="466">
        <v>0</v>
      </c>
      <c r="J174" s="466">
        <v>0</v>
      </c>
      <c r="K174" s="466">
        <v>0</v>
      </c>
      <c r="L174" s="466">
        <v>0</v>
      </c>
      <c r="M174" s="466">
        <v>0</v>
      </c>
      <c r="N174" s="466">
        <v>0</v>
      </c>
      <c r="O174" s="466">
        <v>0</v>
      </c>
      <c r="P174" s="466">
        <v>0</v>
      </c>
    </row>
    <row r="175" spans="1:17" s="554" customFormat="1">
      <c r="A175" s="18"/>
      <c r="B175" s="18" t="s">
        <v>580</v>
      </c>
      <c r="C175" s="18"/>
      <c r="D175" s="466">
        <v>0</v>
      </c>
      <c r="E175" s="466">
        <v>0</v>
      </c>
      <c r="F175" s="466">
        <v>0</v>
      </c>
      <c r="G175" s="466">
        <v>0</v>
      </c>
      <c r="H175" s="466">
        <v>0</v>
      </c>
      <c r="I175" s="466">
        <v>0</v>
      </c>
      <c r="J175" s="466">
        <v>0</v>
      </c>
      <c r="K175" s="466">
        <v>0</v>
      </c>
      <c r="L175" s="466">
        <v>0</v>
      </c>
      <c r="M175" s="466">
        <v>0</v>
      </c>
      <c r="N175" s="466">
        <v>0</v>
      </c>
      <c r="O175" s="466">
        <v>0</v>
      </c>
      <c r="P175" s="466">
        <v>0</v>
      </c>
    </row>
    <row r="176" spans="1:17" s="554" customFormat="1">
      <c r="A176" s="18"/>
      <c r="B176" s="18" t="s">
        <v>581</v>
      </c>
      <c r="C176" s="18"/>
      <c r="D176" s="466">
        <v>0</v>
      </c>
      <c r="E176" s="466">
        <v>0</v>
      </c>
      <c r="F176" s="466">
        <v>0</v>
      </c>
      <c r="G176" s="466">
        <v>0</v>
      </c>
      <c r="H176" s="466">
        <v>0</v>
      </c>
      <c r="I176" s="466">
        <v>0</v>
      </c>
      <c r="J176" s="466">
        <v>0</v>
      </c>
      <c r="K176" s="466">
        <v>0</v>
      </c>
      <c r="L176" s="466">
        <v>0</v>
      </c>
      <c r="M176" s="466">
        <v>0</v>
      </c>
      <c r="N176" s="466">
        <v>0</v>
      </c>
      <c r="O176" s="466">
        <v>0</v>
      </c>
      <c r="P176" s="466">
        <v>0</v>
      </c>
    </row>
    <row r="177" spans="1:16" s="554" customFormat="1">
      <c r="A177" s="18"/>
      <c r="B177" s="18" t="s">
        <v>584</v>
      </c>
      <c r="C177" s="18"/>
      <c r="D177" s="466"/>
      <c r="E177" s="466"/>
      <c r="F177" s="466"/>
      <c r="G177" s="466"/>
      <c r="H177" s="466">
        <v>0</v>
      </c>
      <c r="I177" s="466">
        <v>0</v>
      </c>
      <c r="J177" s="466">
        <v>0</v>
      </c>
      <c r="K177" s="466">
        <v>0</v>
      </c>
      <c r="L177" s="466">
        <v>0</v>
      </c>
      <c r="M177" s="466">
        <v>0</v>
      </c>
      <c r="N177" s="466">
        <v>0</v>
      </c>
      <c r="O177" s="466">
        <v>0</v>
      </c>
      <c r="P177" s="466">
        <v>0</v>
      </c>
    </row>
    <row r="178" spans="1:16" s="554" customFormat="1">
      <c r="A178" s="18"/>
      <c r="B178" s="18" t="s">
        <v>650</v>
      </c>
      <c r="C178" s="18"/>
      <c r="D178" s="466"/>
      <c r="E178" s="466"/>
      <c r="F178" s="466"/>
      <c r="G178" s="466"/>
      <c r="H178" s="466">
        <v>0</v>
      </c>
      <c r="I178" s="466">
        <v>0</v>
      </c>
      <c r="J178" s="466">
        <v>0</v>
      </c>
      <c r="K178" s="466">
        <v>0</v>
      </c>
      <c r="L178" s="466">
        <v>0</v>
      </c>
      <c r="M178" s="466">
        <v>0</v>
      </c>
      <c r="N178" s="466">
        <v>0</v>
      </c>
      <c r="O178" s="466">
        <v>0</v>
      </c>
      <c r="P178" s="466">
        <v>0</v>
      </c>
    </row>
    <row r="179" spans="1:16" s="554" customFormat="1">
      <c r="A179" s="18"/>
      <c r="B179" s="18" t="s">
        <v>64</v>
      </c>
      <c r="C179" s="18"/>
      <c r="D179" s="466">
        <f>SUM(D165:D178)</f>
        <v>23864.6</v>
      </c>
      <c r="E179" s="466">
        <f>SUM(E165:E178)</f>
        <v>19273.009999999998</v>
      </c>
      <c r="F179" s="466">
        <f t="shared" ref="F179:O179" si="38">SUM(F165:F178)</f>
        <v>12887.93</v>
      </c>
      <c r="G179" s="466">
        <f t="shared" si="38"/>
        <v>17128.64</v>
      </c>
      <c r="H179" s="466">
        <f t="shared" si="38"/>
        <v>26353.360000000001</v>
      </c>
      <c r="I179" s="466">
        <f t="shared" si="38"/>
        <v>18179.060000000001</v>
      </c>
      <c r="J179" s="466">
        <f t="shared" si="38"/>
        <v>53826.03</v>
      </c>
      <c r="K179" s="466">
        <f t="shared" si="38"/>
        <v>0</v>
      </c>
      <c r="L179" s="466">
        <f t="shared" si="38"/>
        <v>141125.35999999999</v>
      </c>
      <c r="M179" s="466">
        <f t="shared" si="38"/>
        <v>21888.12</v>
      </c>
      <c r="N179" s="466">
        <f t="shared" si="38"/>
        <v>78707.48</v>
      </c>
      <c r="O179" s="466">
        <f t="shared" si="38"/>
        <v>38407.839999999997</v>
      </c>
      <c r="P179" s="466">
        <f>SUM(P165:P178)</f>
        <v>451641.42999999993</v>
      </c>
    </row>
    <row r="180" spans="1:16">
      <c r="A180" s="18" t="s">
        <v>552</v>
      </c>
      <c r="B180" s="18" t="s">
        <v>572</v>
      </c>
      <c r="C180" s="18"/>
      <c r="D180" s="466">
        <v>0</v>
      </c>
      <c r="E180" s="466">
        <v>0</v>
      </c>
      <c r="F180" s="466">
        <v>0</v>
      </c>
      <c r="G180" s="466">
        <v>0</v>
      </c>
      <c r="H180" s="466">
        <v>0</v>
      </c>
      <c r="I180" s="466">
        <v>0</v>
      </c>
      <c r="J180" s="466">
        <v>0</v>
      </c>
      <c r="K180" s="466">
        <v>0</v>
      </c>
      <c r="L180" s="466">
        <v>0</v>
      </c>
      <c r="M180" s="466">
        <v>0</v>
      </c>
      <c r="N180" s="466">
        <v>0</v>
      </c>
      <c r="O180" s="466">
        <v>0</v>
      </c>
      <c r="P180" s="466">
        <f t="shared" ref="P180:P181" si="39">SUM(D180:O180)</f>
        <v>0</v>
      </c>
    </row>
    <row r="181" spans="1:16">
      <c r="A181" s="18"/>
      <c r="B181" s="18" t="s">
        <v>585</v>
      </c>
      <c r="C181" s="18"/>
      <c r="D181" s="466">
        <v>0</v>
      </c>
      <c r="E181" s="466">
        <v>0</v>
      </c>
      <c r="F181" s="466">
        <v>0</v>
      </c>
      <c r="G181" s="466">
        <v>0</v>
      </c>
      <c r="H181" s="466">
        <v>0</v>
      </c>
      <c r="I181" s="466">
        <v>0</v>
      </c>
      <c r="J181" s="466">
        <v>0</v>
      </c>
      <c r="K181" s="466">
        <v>0</v>
      </c>
      <c r="L181" s="466">
        <v>0</v>
      </c>
      <c r="M181" s="466">
        <v>0</v>
      </c>
      <c r="N181" s="466">
        <v>0</v>
      </c>
      <c r="O181" s="466">
        <v>0</v>
      </c>
      <c r="P181" s="466">
        <f t="shared" si="39"/>
        <v>0</v>
      </c>
    </row>
    <row r="182" spans="1:16">
      <c r="A182" s="18"/>
      <c r="B182" s="18" t="s">
        <v>573</v>
      </c>
      <c r="C182" s="18"/>
      <c r="D182" s="466">
        <v>10500000</v>
      </c>
      <c r="E182" s="466">
        <v>10500000</v>
      </c>
      <c r="F182" s="466">
        <v>10500000</v>
      </c>
      <c r="G182" s="466">
        <v>10500000</v>
      </c>
      <c r="H182" s="466">
        <v>10500000</v>
      </c>
      <c r="I182" s="466">
        <v>10500000</v>
      </c>
      <c r="J182" s="466">
        <v>20000000</v>
      </c>
      <c r="K182" s="466">
        <v>1000000</v>
      </c>
      <c r="L182" s="466">
        <v>10500000</v>
      </c>
      <c r="M182" s="466">
        <v>10500000</v>
      </c>
      <c r="N182" s="466">
        <v>10500000</v>
      </c>
      <c r="O182" s="466">
        <v>10500000</v>
      </c>
      <c r="P182" s="466">
        <f>SUM(D182:O182)</f>
        <v>126000000</v>
      </c>
    </row>
    <row r="183" spans="1:16">
      <c r="A183" s="18"/>
      <c r="B183" s="18" t="s">
        <v>574</v>
      </c>
      <c r="C183" s="18"/>
      <c r="D183" s="466">
        <v>40226635.329999998</v>
      </c>
      <c r="E183" s="466">
        <v>41537423.18</v>
      </c>
      <c r="F183" s="466">
        <v>45331526.659999996</v>
      </c>
      <c r="G183" s="466">
        <v>40955427.758000001</v>
      </c>
      <c r="H183" s="466">
        <v>40601443.200000003</v>
      </c>
      <c r="I183" s="466">
        <v>39622447.941</v>
      </c>
      <c r="J183" s="466">
        <v>75278067.829999998</v>
      </c>
      <c r="K183" s="466">
        <v>4771303.55</v>
      </c>
      <c r="L183" s="466">
        <v>37916910.579999998</v>
      </c>
      <c r="M183" s="466">
        <v>40995162.306999996</v>
      </c>
      <c r="N183" s="466">
        <v>38477519.840000004</v>
      </c>
      <c r="O183" s="466">
        <v>38742778.82</v>
      </c>
      <c r="P183" s="466">
        <f t="shared" ref="P183:P193" si="40">SUM(D183:O183)</f>
        <v>484456646.99599987</v>
      </c>
    </row>
    <row r="184" spans="1:16">
      <c r="A184" s="18"/>
      <c r="B184" s="18" t="s">
        <v>575</v>
      </c>
      <c r="C184" s="18"/>
      <c r="D184" s="466">
        <v>538660.1</v>
      </c>
      <c r="E184" s="466">
        <v>0</v>
      </c>
      <c r="F184" s="466">
        <v>2261138.2000000002</v>
      </c>
      <c r="G184" s="466">
        <v>2188160.4</v>
      </c>
      <c r="H184" s="466">
        <v>1816944.1</v>
      </c>
      <c r="I184" s="466">
        <v>661612.30000000005</v>
      </c>
      <c r="J184" s="466">
        <v>2258167.7000000002</v>
      </c>
      <c r="K184" s="466">
        <v>0</v>
      </c>
      <c r="L184" s="466">
        <v>1336605.5</v>
      </c>
      <c r="M184" s="466">
        <v>1273936.601</v>
      </c>
      <c r="N184" s="466">
        <v>1351281</v>
      </c>
      <c r="O184" s="466">
        <v>2152636.7999999998</v>
      </c>
      <c r="P184" s="466">
        <f t="shared" si="40"/>
        <v>15839142.701000001</v>
      </c>
    </row>
    <row r="185" spans="1:16">
      <c r="A185" s="18"/>
      <c r="B185" s="18" t="s">
        <v>571</v>
      </c>
      <c r="C185" s="18"/>
      <c r="D185" s="466">
        <v>0</v>
      </c>
      <c r="E185" s="466">
        <v>0</v>
      </c>
      <c r="F185" s="466">
        <v>0</v>
      </c>
      <c r="G185" s="466">
        <v>0</v>
      </c>
      <c r="H185" s="466">
        <v>0</v>
      </c>
      <c r="I185" s="466">
        <v>0</v>
      </c>
      <c r="J185" s="466">
        <v>0</v>
      </c>
      <c r="K185" s="466">
        <v>0</v>
      </c>
      <c r="L185" s="466">
        <v>0</v>
      </c>
      <c r="M185" s="466">
        <v>0</v>
      </c>
      <c r="N185" s="466">
        <v>0</v>
      </c>
      <c r="O185" s="466">
        <v>0</v>
      </c>
      <c r="P185" s="466">
        <f t="shared" si="40"/>
        <v>0</v>
      </c>
    </row>
    <row r="186" spans="1:16">
      <c r="A186" s="18"/>
      <c r="B186" s="18" t="s">
        <v>586</v>
      </c>
      <c r="C186" s="18"/>
      <c r="D186" s="466">
        <v>0</v>
      </c>
      <c r="E186" s="466">
        <v>0</v>
      </c>
      <c r="F186" s="466">
        <v>0</v>
      </c>
      <c r="G186" s="466">
        <v>0</v>
      </c>
      <c r="H186" s="466">
        <v>0</v>
      </c>
      <c r="I186" s="466">
        <v>0</v>
      </c>
      <c r="J186" s="466">
        <v>0</v>
      </c>
      <c r="K186" s="466">
        <v>0</v>
      </c>
      <c r="L186" s="466">
        <v>0</v>
      </c>
      <c r="M186" s="466">
        <v>0</v>
      </c>
      <c r="N186" s="466">
        <v>0</v>
      </c>
      <c r="O186" s="466">
        <v>0</v>
      </c>
      <c r="P186" s="466">
        <f t="shared" si="40"/>
        <v>0</v>
      </c>
    </row>
    <row r="187" spans="1:16">
      <c r="A187" s="18"/>
      <c r="B187" s="18" t="s">
        <v>621</v>
      </c>
      <c r="C187" s="18"/>
      <c r="D187" s="466">
        <v>0</v>
      </c>
      <c r="E187" s="466">
        <v>0</v>
      </c>
      <c r="F187" s="466">
        <v>0</v>
      </c>
      <c r="G187" s="466">
        <v>0</v>
      </c>
      <c r="H187" s="466">
        <v>0</v>
      </c>
      <c r="I187" s="466">
        <v>0</v>
      </c>
      <c r="J187" s="466">
        <v>0</v>
      </c>
      <c r="K187" s="466">
        <v>0</v>
      </c>
      <c r="L187" s="466">
        <v>0</v>
      </c>
      <c r="M187" s="466">
        <v>0</v>
      </c>
      <c r="N187" s="466">
        <v>0</v>
      </c>
      <c r="O187" s="466">
        <v>0</v>
      </c>
      <c r="P187" s="466">
        <f t="shared" si="40"/>
        <v>0</v>
      </c>
    </row>
    <row r="188" spans="1:16">
      <c r="A188" s="18"/>
      <c r="B188" s="18" t="s">
        <v>577</v>
      </c>
      <c r="C188" s="18"/>
      <c r="D188" s="466">
        <v>0</v>
      </c>
      <c r="E188" s="466">
        <v>0</v>
      </c>
      <c r="F188" s="466">
        <v>0</v>
      </c>
      <c r="G188" s="466">
        <v>0</v>
      </c>
      <c r="H188" s="466">
        <v>0</v>
      </c>
      <c r="I188" s="466">
        <v>0</v>
      </c>
      <c r="J188" s="466">
        <v>0</v>
      </c>
      <c r="K188" s="466">
        <v>0</v>
      </c>
      <c r="L188" s="466">
        <v>0</v>
      </c>
      <c r="M188" s="466">
        <v>0</v>
      </c>
      <c r="N188" s="466">
        <v>0</v>
      </c>
      <c r="O188" s="466">
        <v>0</v>
      </c>
      <c r="P188" s="466">
        <f t="shared" si="40"/>
        <v>0</v>
      </c>
    </row>
    <row r="189" spans="1:16">
      <c r="A189" s="18"/>
      <c r="B189" s="18" t="s">
        <v>578</v>
      </c>
      <c r="C189" s="18"/>
      <c r="D189" s="466">
        <v>0</v>
      </c>
      <c r="E189" s="466">
        <v>0</v>
      </c>
      <c r="F189" s="466">
        <v>0</v>
      </c>
      <c r="G189" s="466">
        <v>0</v>
      </c>
      <c r="H189" s="466">
        <v>0</v>
      </c>
      <c r="I189" s="466">
        <v>0</v>
      </c>
      <c r="J189" s="466">
        <v>0</v>
      </c>
      <c r="K189" s="466">
        <v>0</v>
      </c>
      <c r="L189" s="466">
        <v>0</v>
      </c>
      <c r="M189" s="466">
        <v>0</v>
      </c>
      <c r="N189" s="466">
        <v>0</v>
      </c>
      <c r="O189" s="466">
        <v>0</v>
      </c>
      <c r="P189" s="466">
        <f t="shared" si="40"/>
        <v>0</v>
      </c>
    </row>
    <row r="190" spans="1:16">
      <c r="A190" s="18"/>
      <c r="B190" s="18" t="s">
        <v>579</v>
      </c>
      <c r="C190" s="18"/>
      <c r="D190" s="466">
        <v>0</v>
      </c>
      <c r="E190" s="466">
        <v>0</v>
      </c>
      <c r="F190" s="466">
        <v>0</v>
      </c>
      <c r="G190" s="466">
        <v>0</v>
      </c>
      <c r="H190" s="466">
        <v>0</v>
      </c>
      <c r="I190" s="466">
        <v>0</v>
      </c>
      <c r="J190" s="466">
        <v>0</v>
      </c>
      <c r="K190" s="466">
        <v>0</v>
      </c>
      <c r="L190" s="466">
        <v>0</v>
      </c>
      <c r="M190" s="466">
        <v>0</v>
      </c>
      <c r="N190" s="466">
        <v>0</v>
      </c>
      <c r="O190" s="466">
        <v>0</v>
      </c>
      <c r="P190" s="466">
        <f t="shared" si="40"/>
        <v>0</v>
      </c>
    </row>
    <row r="191" spans="1:16">
      <c r="A191" s="18"/>
      <c r="B191" s="18" t="s">
        <v>580</v>
      </c>
      <c r="C191" s="18"/>
      <c r="D191" s="466">
        <v>0</v>
      </c>
      <c r="E191" s="466">
        <v>0</v>
      </c>
      <c r="F191" s="466">
        <v>0</v>
      </c>
      <c r="G191" s="466">
        <v>0</v>
      </c>
      <c r="H191" s="466">
        <v>0</v>
      </c>
      <c r="I191" s="466">
        <v>0</v>
      </c>
      <c r="J191" s="466">
        <v>0</v>
      </c>
      <c r="K191" s="466">
        <v>0</v>
      </c>
      <c r="L191" s="466">
        <v>0</v>
      </c>
      <c r="M191" s="466">
        <v>0</v>
      </c>
      <c r="N191" s="466">
        <v>0</v>
      </c>
      <c r="O191" s="466">
        <v>0</v>
      </c>
      <c r="P191" s="466">
        <f t="shared" si="40"/>
        <v>0</v>
      </c>
    </row>
    <row r="192" spans="1:16">
      <c r="A192" s="18"/>
      <c r="B192" s="18" t="s">
        <v>581</v>
      </c>
      <c r="C192" s="18"/>
      <c r="D192" s="466">
        <v>0</v>
      </c>
      <c r="E192" s="466">
        <v>0</v>
      </c>
      <c r="F192" s="466">
        <v>0</v>
      </c>
      <c r="G192" s="466">
        <v>0</v>
      </c>
      <c r="H192" s="466">
        <v>0</v>
      </c>
      <c r="I192" s="466">
        <v>0</v>
      </c>
      <c r="J192" s="466">
        <v>0</v>
      </c>
      <c r="K192" s="466">
        <v>0</v>
      </c>
      <c r="L192" s="466">
        <v>0</v>
      </c>
      <c r="M192" s="466">
        <v>0</v>
      </c>
      <c r="N192" s="466">
        <v>0</v>
      </c>
      <c r="O192" s="466">
        <v>0</v>
      </c>
      <c r="P192" s="466">
        <f t="shared" si="40"/>
        <v>0</v>
      </c>
    </row>
    <row r="193" spans="1:16">
      <c r="A193" s="18"/>
      <c r="B193" s="18" t="s">
        <v>650</v>
      </c>
      <c r="C193" s="18"/>
      <c r="D193" s="466"/>
      <c r="E193" s="466"/>
      <c r="F193" s="466"/>
      <c r="G193" s="466"/>
      <c r="H193" s="466"/>
      <c r="I193" s="466">
        <v>0</v>
      </c>
      <c r="J193" s="466">
        <v>0</v>
      </c>
      <c r="K193" s="466">
        <v>0</v>
      </c>
      <c r="L193" s="466">
        <v>0</v>
      </c>
      <c r="M193" s="466">
        <v>0</v>
      </c>
      <c r="N193" s="466">
        <v>0</v>
      </c>
      <c r="O193" s="466">
        <v>0</v>
      </c>
      <c r="P193" s="466">
        <f t="shared" si="40"/>
        <v>0</v>
      </c>
    </row>
    <row r="194" spans="1:16">
      <c r="A194" s="18"/>
      <c r="B194" s="18" t="s">
        <v>64</v>
      </c>
      <c r="C194" s="18"/>
      <c r="D194" s="466">
        <f>SUM(D180:D193)</f>
        <v>51265295.43</v>
      </c>
      <c r="E194" s="466">
        <f t="shared" ref="E194:O194" si="41">SUM(E180:E193)</f>
        <v>52037423.18</v>
      </c>
      <c r="F194" s="466">
        <f t="shared" si="41"/>
        <v>58092664.859999999</v>
      </c>
      <c r="G194" s="466">
        <f t="shared" si="41"/>
        <v>53643588.158</v>
      </c>
      <c r="H194" s="466">
        <f t="shared" si="41"/>
        <v>52918387.300000004</v>
      </c>
      <c r="I194" s="466">
        <f t="shared" si="41"/>
        <v>50784060.240999997</v>
      </c>
      <c r="J194" s="466">
        <f t="shared" si="41"/>
        <v>97536235.530000001</v>
      </c>
      <c r="K194" s="466">
        <f t="shared" si="41"/>
        <v>5771303.5499999998</v>
      </c>
      <c r="L194" s="466">
        <f t="shared" si="41"/>
        <v>49753516.079999998</v>
      </c>
      <c r="M194" s="466">
        <f t="shared" si="41"/>
        <v>52769098.908</v>
      </c>
      <c r="N194" s="466">
        <f t="shared" si="41"/>
        <v>50328800.840000004</v>
      </c>
      <c r="O194" s="466">
        <f t="shared" si="41"/>
        <v>51395415.619999997</v>
      </c>
      <c r="P194" s="466">
        <f>SUM(P180:P193)</f>
        <v>626295789.69699979</v>
      </c>
    </row>
    <row r="195" spans="1:16" s="554" customFormat="1">
      <c r="A195" s="18" t="s">
        <v>758</v>
      </c>
      <c r="B195" s="18" t="s">
        <v>572</v>
      </c>
      <c r="C195" s="18"/>
      <c r="D195" s="466">
        <v>0</v>
      </c>
      <c r="E195" s="466">
        <v>0</v>
      </c>
      <c r="F195" s="466">
        <v>0</v>
      </c>
      <c r="G195" s="466">
        <v>0</v>
      </c>
      <c r="H195" s="466">
        <v>0</v>
      </c>
      <c r="I195" s="466">
        <v>0</v>
      </c>
      <c r="J195" s="466">
        <v>0</v>
      </c>
      <c r="K195" s="466">
        <v>0</v>
      </c>
      <c r="L195" s="466">
        <v>0</v>
      </c>
      <c r="M195" s="466">
        <v>0</v>
      </c>
      <c r="N195" s="466">
        <v>0</v>
      </c>
      <c r="O195" s="466">
        <v>0</v>
      </c>
      <c r="P195" s="466">
        <f t="shared" ref="P195:P196" si="42">SUM(D195:O195)</f>
        <v>0</v>
      </c>
    </row>
    <row r="196" spans="1:16" s="554" customFormat="1">
      <c r="A196" s="18"/>
      <c r="B196" s="18" t="s">
        <v>585</v>
      </c>
      <c r="C196" s="18"/>
      <c r="D196" s="466">
        <v>0</v>
      </c>
      <c r="E196" s="466">
        <v>0</v>
      </c>
      <c r="F196" s="466">
        <v>0</v>
      </c>
      <c r="G196" s="466">
        <v>0</v>
      </c>
      <c r="H196" s="466">
        <v>0</v>
      </c>
      <c r="I196" s="466">
        <v>0</v>
      </c>
      <c r="J196" s="466">
        <v>0</v>
      </c>
      <c r="K196" s="466">
        <v>0</v>
      </c>
      <c r="L196" s="466">
        <v>0</v>
      </c>
      <c r="M196" s="466">
        <v>0</v>
      </c>
      <c r="N196" s="466">
        <v>0</v>
      </c>
      <c r="O196" s="466">
        <v>0</v>
      </c>
      <c r="P196" s="466">
        <f t="shared" si="42"/>
        <v>0</v>
      </c>
    </row>
    <row r="197" spans="1:16" s="554" customFormat="1">
      <c r="A197" s="18"/>
      <c r="B197" s="18" t="s">
        <v>573</v>
      </c>
      <c r="C197" s="18"/>
      <c r="D197" s="466">
        <v>500000</v>
      </c>
      <c r="E197" s="466">
        <v>500000</v>
      </c>
      <c r="F197" s="466">
        <v>500000</v>
      </c>
      <c r="G197" s="466">
        <v>500000</v>
      </c>
      <c r="H197" s="466">
        <v>500000</v>
      </c>
      <c r="I197" s="466">
        <v>500000</v>
      </c>
      <c r="J197" s="466">
        <v>500000</v>
      </c>
      <c r="K197" s="466">
        <v>500000</v>
      </c>
      <c r="L197" s="466">
        <v>500000</v>
      </c>
      <c r="M197" s="466">
        <v>500000</v>
      </c>
      <c r="N197" s="466">
        <v>500000</v>
      </c>
      <c r="O197" s="466">
        <v>500000</v>
      </c>
      <c r="P197" s="466">
        <f>SUM(D197:O197)</f>
        <v>6000000</v>
      </c>
    </row>
    <row r="198" spans="1:16" s="554" customFormat="1">
      <c r="A198" s="18"/>
      <c r="B198" s="18" t="s">
        <v>574</v>
      </c>
      <c r="C198" s="18"/>
      <c r="D198" s="466">
        <v>5500000</v>
      </c>
      <c r="E198" s="466">
        <v>5500000</v>
      </c>
      <c r="F198" s="466">
        <v>5500000</v>
      </c>
      <c r="G198" s="466">
        <v>5500000</v>
      </c>
      <c r="H198" s="466">
        <v>5500000</v>
      </c>
      <c r="I198" s="466">
        <v>5500000</v>
      </c>
      <c r="J198" s="466">
        <v>5500000</v>
      </c>
      <c r="K198" s="466">
        <v>5500000</v>
      </c>
      <c r="L198" s="466">
        <v>5500000</v>
      </c>
      <c r="M198" s="466">
        <v>5500000</v>
      </c>
      <c r="N198" s="466">
        <v>5500000</v>
      </c>
      <c r="O198" s="466">
        <v>5500000</v>
      </c>
      <c r="P198" s="466">
        <f t="shared" ref="P198:P208" si="43">SUM(D198:O198)</f>
        <v>66000000</v>
      </c>
    </row>
    <row r="199" spans="1:16" s="554" customFormat="1">
      <c r="A199" s="18"/>
      <c r="B199" s="18" t="s">
        <v>575</v>
      </c>
      <c r="C199" s="18"/>
      <c r="D199" s="466">
        <v>30269180</v>
      </c>
      <c r="E199" s="466">
        <v>31568812</v>
      </c>
      <c r="F199" s="466">
        <v>33286006</v>
      </c>
      <c r="G199" s="466">
        <v>30341294</v>
      </c>
      <c r="H199" s="466">
        <v>31705990</v>
      </c>
      <c r="I199" s="466">
        <v>32401122</v>
      </c>
      <c r="J199" s="466">
        <v>31639530</v>
      </c>
      <c r="K199" s="466">
        <v>29055858</v>
      </c>
      <c r="L199" s="466">
        <v>30143840</v>
      </c>
      <c r="M199" s="466">
        <v>24120374</v>
      </c>
      <c r="N199" s="466">
        <v>25359532</v>
      </c>
      <c r="O199" s="466">
        <v>27105658</v>
      </c>
      <c r="P199" s="466">
        <f t="shared" si="43"/>
        <v>356997196</v>
      </c>
    </row>
    <row r="200" spans="1:16" s="554" customFormat="1">
      <c r="A200" s="18"/>
      <c r="B200" s="18" t="s">
        <v>571</v>
      </c>
      <c r="C200" s="18"/>
      <c r="D200" s="466">
        <v>0</v>
      </c>
      <c r="E200" s="466">
        <v>0</v>
      </c>
      <c r="F200" s="466">
        <v>0</v>
      </c>
      <c r="G200" s="466">
        <v>0</v>
      </c>
      <c r="H200" s="466">
        <v>0</v>
      </c>
      <c r="I200" s="466">
        <v>0</v>
      </c>
      <c r="J200" s="466">
        <v>0</v>
      </c>
      <c r="K200" s="466">
        <v>0</v>
      </c>
      <c r="L200" s="466">
        <v>0</v>
      </c>
      <c r="M200" s="466">
        <v>0</v>
      </c>
      <c r="N200" s="466">
        <v>0</v>
      </c>
      <c r="O200" s="466">
        <v>0</v>
      </c>
      <c r="P200" s="466">
        <f t="shared" si="43"/>
        <v>0</v>
      </c>
    </row>
    <row r="201" spans="1:16" s="554" customFormat="1">
      <c r="A201" s="18"/>
      <c r="B201" s="18" t="s">
        <v>586</v>
      </c>
      <c r="C201" s="18"/>
      <c r="D201" s="466">
        <v>0</v>
      </c>
      <c r="E201" s="466">
        <v>0</v>
      </c>
      <c r="F201" s="466">
        <v>0</v>
      </c>
      <c r="G201" s="466">
        <v>0</v>
      </c>
      <c r="H201" s="466">
        <v>0</v>
      </c>
      <c r="I201" s="466">
        <v>0</v>
      </c>
      <c r="J201" s="466">
        <v>0</v>
      </c>
      <c r="K201" s="466">
        <v>0</v>
      </c>
      <c r="L201" s="466">
        <v>0</v>
      </c>
      <c r="M201" s="466">
        <v>0</v>
      </c>
      <c r="N201" s="466">
        <v>0</v>
      </c>
      <c r="O201" s="466">
        <v>0</v>
      </c>
      <c r="P201" s="466">
        <f t="shared" si="43"/>
        <v>0</v>
      </c>
    </row>
    <row r="202" spans="1:16" s="554" customFormat="1">
      <c r="A202" s="18"/>
      <c r="B202" s="18" t="s">
        <v>621</v>
      </c>
      <c r="C202" s="18"/>
      <c r="D202" s="466">
        <v>0</v>
      </c>
      <c r="E202" s="466">
        <v>0</v>
      </c>
      <c r="F202" s="466">
        <v>0</v>
      </c>
      <c r="G202" s="466">
        <v>0</v>
      </c>
      <c r="H202" s="466">
        <v>0</v>
      </c>
      <c r="I202" s="466">
        <v>0</v>
      </c>
      <c r="J202" s="466">
        <v>0</v>
      </c>
      <c r="K202" s="466">
        <v>0</v>
      </c>
      <c r="L202" s="466">
        <v>0</v>
      </c>
      <c r="M202" s="466">
        <v>0</v>
      </c>
      <c r="N202" s="466">
        <v>0</v>
      </c>
      <c r="O202" s="466">
        <v>0</v>
      </c>
      <c r="P202" s="466">
        <f t="shared" si="43"/>
        <v>0</v>
      </c>
    </row>
    <row r="203" spans="1:16" s="554" customFormat="1">
      <c r="A203" s="18"/>
      <c r="B203" s="18" t="s">
        <v>577</v>
      </c>
      <c r="C203" s="18"/>
      <c r="D203" s="466">
        <v>0</v>
      </c>
      <c r="E203" s="466">
        <v>0</v>
      </c>
      <c r="F203" s="466">
        <v>0</v>
      </c>
      <c r="G203" s="466">
        <v>0</v>
      </c>
      <c r="H203" s="466">
        <v>0</v>
      </c>
      <c r="I203" s="466">
        <v>0</v>
      </c>
      <c r="J203" s="466">
        <v>0</v>
      </c>
      <c r="K203" s="466">
        <v>0</v>
      </c>
      <c r="L203" s="466">
        <v>0</v>
      </c>
      <c r="M203" s="466">
        <v>0</v>
      </c>
      <c r="N203" s="466">
        <v>0</v>
      </c>
      <c r="O203" s="466">
        <v>0</v>
      </c>
      <c r="P203" s="466">
        <f t="shared" si="43"/>
        <v>0</v>
      </c>
    </row>
    <row r="204" spans="1:16" s="554" customFormat="1">
      <c r="A204" s="18"/>
      <c r="B204" s="18" t="s">
        <v>578</v>
      </c>
      <c r="C204" s="18"/>
      <c r="D204" s="466">
        <v>0</v>
      </c>
      <c r="E204" s="466">
        <v>0</v>
      </c>
      <c r="F204" s="466">
        <v>0</v>
      </c>
      <c r="G204" s="466">
        <v>0</v>
      </c>
      <c r="H204" s="466">
        <v>0</v>
      </c>
      <c r="I204" s="466">
        <v>0</v>
      </c>
      <c r="J204" s="466">
        <v>0</v>
      </c>
      <c r="K204" s="466">
        <v>0</v>
      </c>
      <c r="L204" s="466">
        <v>0</v>
      </c>
      <c r="M204" s="466">
        <v>0</v>
      </c>
      <c r="N204" s="466">
        <v>0</v>
      </c>
      <c r="O204" s="466">
        <v>0</v>
      </c>
      <c r="P204" s="466">
        <f t="shared" si="43"/>
        <v>0</v>
      </c>
    </row>
    <row r="205" spans="1:16" s="554" customFormat="1">
      <c r="A205" s="18"/>
      <c r="B205" s="18" t="s">
        <v>579</v>
      </c>
      <c r="C205" s="18"/>
      <c r="D205" s="466">
        <v>0</v>
      </c>
      <c r="E205" s="466">
        <v>0</v>
      </c>
      <c r="F205" s="466">
        <v>0</v>
      </c>
      <c r="G205" s="466">
        <v>0</v>
      </c>
      <c r="H205" s="466">
        <v>0</v>
      </c>
      <c r="I205" s="466">
        <v>0</v>
      </c>
      <c r="J205" s="466">
        <v>0</v>
      </c>
      <c r="K205" s="466">
        <v>0</v>
      </c>
      <c r="L205" s="466">
        <v>0</v>
      </c>
      <c r="M205" s="466">
        <v>0</v>
      </c>
      <c r="N205" s="466">
        <v>0</v>
      </c>
      <c r="O205" s="466">
        <v>0</v>
      </c>
      <c r="P205" s="466">
        <f t="shared" si="43"/>
        <v>0</v>
      </c>
    </row>
    <row r="206" spans="1:16" s="554" customFormat="1">
      <c r="A206" s="18"/>
      <c r="B206" s="18" t="s">
        <v>580</v>
      </c>
      <c r="C206" s="18"/>
      <c r="D206" s="466">
        <v>0</v>
      </c>
      <c r="E206" s="466">
        <v>0</v>
      </c>
      <c r="F206" s="466">
        <v>0</v>
      </c>
      <c r="G206" s="466">
        <v>0</v>
      </c>
      <c r="H206" s="466">
        <v>0</v>
      </c>
      <c r="I206" s="466">
        <v>0</v>
      </c>
      <c r="J206" s="466">
        <v>0</v>
      </c>
      <c r="K206" s="466">
        <v>0</v>
      </c>
      <c r="L206" s="466">
        <v>0</v>
      </c>
      <c r="M206" s="466">
        <v>0</v>
      </c>
      <c r="N206" s="466">
        <v>0</v>
      </c>
      <c r="O206" s="466">
        <v>0</v>
      </c>
      <c r="P206" s="466">
        <f t="shared" si="43"/>
        <v>0</v>
      </c>
    </row>
    <row r="207" spans="1:16" s="554" customFormat="1">
      <c r="A207" s="18"/>
      <c r="B207" s="18" t="s">
        <v>581</v>
      </c>
      <c r="C207" s="18"/>
      <c r="D207" s="466">
        <v>0</v>
      </c>
      <c r="E207" s="466">
        <v>0</v>
      </c>
      <c r="F207" s="466">
        <v>0</v>
      </c>
      <c r="G207" s="466">
        <v>0</v>
      </c>
      <c r="H207" s="466">
        <v>0</v>
      </c>
      <c r="I207" s="466">
        <v>0</v>
      </c>
      <c r="J207" s="466">
        <v>0</v>
      </c>
      <c r="K207" s="466">
        <v>0</v>
      </c>
      <c r="L207" s="466">
        <v>0</v>
      </c>
      <c r="M207" s="466">
        <v>0</v>
      </c>
      <c r="N207" s="466">
        <v>0</v>
      </c>
      <c r="O207" s="466">
        <v>0</v>
      </c>
      <c r="P207" s="466">
        <f t="shared" si="43"/>
        <v>0</v>
      </c>
    </row>
    <row r="208" spans="1:16" s="554" customFormat="1">
      <c r="A208" s="18"/>
      <c r="B208" s="18" t="s">
        <v>650</v>
      </c>
      <c r="C208" s="18"/>
      <c r="D208" s="466"/>
      <c r="E208" s="466"/>
      <c r="F208" s="466"/>
      <c r="G208" s="466"/>
      <c r="H208" s="466"/>
      <c r="I208" s="466">
        <v>0</v>
      </c>
      <c r="J208" s="466">
        <v>0</v>
      </c>
      <c r="K208" s="466">
        <v>0</v>
      </c>
      <c r="L208" s="466">
        <v>0</v>
      </c>
      <c r="M208" s="466">
        <v>0</v>
      </c>
      <c r="N208" s="466">
        <v>0</v>
      </c>
      <c r="O208" s="466">
        <v>0</v>
      </c>
      <c r="P208" s="466">
        <f t="shared" si="43"/>
        <v>0</v>
      </c>
    </row>
    <row r="209" spans="1:16" s="554" customFormat="1">
      <c r="A209" s="18"/>
      <c r="B209" s="18" t="s">
        <v>64</v>
      </c>
      <c r="C209" s="18"/>
      <c r="D209" s="466">
        <f>SUM(D195:D208)</f>
        <v>36269180</v>
      </c>
      <c r="E209" s="466">
        <f t="shared" ref="E209:O209" si="44">SUM(E195:E208)</f>
        <v>37568812</v>
      </c>
      <c r="F209" s="466">
        <f t="shared" si="44"/>
        <v>39286006</v>
      </c>
      <c r="G209" s="466">
        <f t="shared" si="44"/>
        <v>36341294</v>
      </c>
      <c r="H209" s="466">
        <f t="shared" si="44"/>
        <v>37705990</v>
      </c>
      <c r="I209" s="466">
        <f t="shared" si="44"/>
        <v>38401122</v>
      </c>
      <c r="J209" s="466">
        <f t="shared" si="44"/>
        <v>37639530</v>
      </c>
      <c r="K209" s="466">
        <f t="shared" si="44"/>
        <v>35055858</v>
      </c>
      <c r="L209" s="466">
        <f t="shared" si="44"/>
        <v>36143840</v>
      </c>
      <c r="M209" s="466">
        <f t="shared" si="44"/>
        <v>30120374</v>
      </c>
      <c r="N209" s="466">
        <f t="shared" si="44"/>
        <v>31359532</v>
      </c>
      <c r="O209" s="466">
        <f t="shared" si="44"/>
        <v>33105658</v>
      </c>
      <c r="P209" s="466">
        <f>SUM(P195:P208)</f>
        <v>428997196</v>
      </c>
    </row>
    <row r="210" spans="1:16">
      <c r="A210" s="18" t="s">
        <v>553</v>
      </c>
      <c r="B210" s="18" t="s">
        <v>572</v>
      </c>
      <c r="C210" s="18"/>
      <c r="D210" s="466">
        <v>0</v>
      </c>
      <c r="E210" s="466">
        <v>0</v>
      </c>
      <c r="F210" s="466">
        <v>0</v>
      </c>
      <c r="G210" s="466">
        <v>0</v>
      </c>
      <c r="H210" s="466">
        <v>0</v>
      </c>
      <c r="I210" s="466">
        <v>0</v>
      </c>
      <c r="J210" s="466">
        <v>0</v>
      </c>
      <c r="K210" s="466">
        <v>0</v>
      </c>
      <c r="L210" s="466">
        <v>0</v>
      </c>
      <c r="M210" s="466">
        <v>0</v>
      </c>
      <c r="N210" s="466">
        <v>0</v>
      </c>
      <c r="O210" s="466">
        <v>0</v>
      </c>
      <c r="P210" s="466">
        <f t="shared" ref="P210:P211" si="45">SUM(D210:O210)</f>
        <v>0</v>
      </c>
    </row>
    <row r="211" spans="1:16">
      <c r="A211" s="18"/>
      <c r="B211" s="18" t="s">
        <v>584</v>
      </c>
      <c r="C211" s="18"/>
      <c r="D211" s="466">
        <v>0</v>
      </c>
      <c r="E211" s="466">
        <v>0</v>
      </c>
      <c r="F211" s="466">
        <v>0</v>
      </c>
      <c r="G211" s="466">
        <v>0</v>
      </c>
      <c r="H211" s="466">
        <v>0</v>
      </c>
      <c r="I211" s="466">
        <v>0</v>
      </c>
      <c r="J211" s="466">
        <v>0</v>
      </c>
      <c r="K211" s="466">
        <v>0</v>
      </c>
      <c r="L211" s="466">
        <v>0</v>
      </c>
      <c r="M211" s="466">
        <v>0</v>
      </c>
      <c r="N211" s="466">
        <v>0</v>
      </c>
      <c r="O211" s="466">
        <v>0</v>
      </c>
      <c r="P211" s="466">
        <f t="shared" si="45"/>
        <v>0</v>
      </c>
    </row>
    <row r="212" spans="1:16">
      <c r="A212" s="18"/>
      <c r="B212" s="18" t="s">
        <v>573</v>
      </c>
      <c r="C212" s="18"/>
      <c r="D212" s="466">
        <v>5751806.8470000001</v>
      </c>
      <c r="E212" s="466">
        <v>5851891.676</v>
      </c>
      <c r="F212" s="466">
        <v>6199855.0650000004</v>
      </c>
      <c r="G212" s="466">
        <v>3368431.1839999999</v>
      </c>
      <c r="H212" s="466">
        <v>724557.46200000006</v>
      </c>
      <c r="I212" s="466">
        <v>18899.151999999998</v>
      </c>
      <c r="J212" s="466">
        <v>15746.31</v>
      </c>
      <c r="K212" s="466">
        <v>11822.290999999999</v>
      </c>
      <c r="L212" s="466">
        <v>11107.718999999999</v>
      </c>
      <c r="M212" s="466">
        <v>980022.82700000005</v>
      </c>
      <c r="N212" s="466">
        <v>3247500.335</v>
      </c>
      <c r="O212" s="466">
        <v>5905579.9649999999</v>
      </c>
      <c r="P212" s="466">
        <f>SUM(D212:O212)</f>
        <v>32087220.833000001</v>
      </c>
    </row>
    <row r="213" spans="1:16">
      <c r="A213" s="18"/>
      <c r="B213" s="18" t="s">
        <v>571</v>
      </c>
      <c r="C213" s="18"/>
      <c r="D213" s="466">
        <v>0</v>
      </c>
      <c r="E213" s="466">
        <v>0</v>
      </c>
      <c r="F213" s="466">
        <v>0</v>
      </c>
      <c r="G213" s="466">
        <v>0</v>
      </c>
      <c r="H213" s="466">
        <v>0</v>
      </c>
      <c r="I213" s="466">
        <v>0</v>
      </c>
      <c r="J213" s="466">
        <v>0</v>
      </c>
      <c r="K213" s="466">
        <v>0</v>
      </c>
      <c r="L213" s="466">
        <v>0</v>
      </c>
      <c r="M213" s="466">
        <v>0</v>
      </c>
      <c r="N213" s="466">
        <v>0</v>
      </c>
      <c r="O213" s="466">
        <v>0</v>
      </c>
      <c r="P213" s="466">
        <f t="shared" ref="P213:P220" si="46">SUM(D213:O213)</f>
        <v>0</v>
      </c>
    </row>
    <row r="214" spans="1:16">
      <c r="A214" s="18"/>
      <c r="B214" s="18" t="s">
        <v>621</v>
      </c>
      <c r="C214" s="18"/>
      <c r="D214" s="466">
        <v>0</v>
      </c>
      <c r="E214" s="466">
        <v>0</v>
      </c>
      <c r="F214" s="466">
        <v>0</v>
      </c>
      <c r="G214" s="466">
        <v>0</v>
      </c>
      <c r="H214" s="466">
        <v>0</v>
      </c>
      <c r="I214" s="466">
        <v>0</v>
      </c>
      <c r="J214" s="466">
        <v>0</v>
      </c>
      <c r="K214" s="466">
        <v>0</v>
      </c>
      <c r="L214" s="466">
        <v>0</v>
      </c>
      <c r="M214" s="466">
        <v>0</v>
      </c>
      <c r="N214" s="466">
        <v>0</v>
      </c>
      <c r="O214" s="466">
        <v>0</v>
      </c>
      <c r="P214" s="466">
        <f t="shared" si="46"/>
        <v>0</v>
      </c>
    </row>
    <row r="215" spans="1:16">
      <c r="A215" s="18"/>
      <c r="B215" s="18" t="s">
        <v>577</v>
      </c>
      <c r="C215" s="18"/>
      <c r="D215" s="466">
        <v>0</v>
      </c>
      <c r="E215" s="466">
        <v>0</v>
      </c>
      <c r="F215" s="466">
        <v>0</v>
      </c>
      <c r="G215" s="466">
        <v>0</v>
      </c>
      <c r="H215" s="466">
        <v>0</v>
      </c>
      <c r="I215" s="466">
        <v>0</v>
      </c>
      <c r="J215" s="466">
        <v>0</v>
      </c>
      <c r="K215" s="466">
        <v>0</v>
      </c>
      <c r="L215" s="466">
        <v>0</v>
      </c>
      <c r="M215" s="466">
        <v>0</v>
      </c>
      <c r="N215" s="466">
        <v>0</v>
      </c>
      <c r="O215" s="466">
        <v>0</v>
      </c>
      <c r="P215" s="466">
        <f t="shared" si="46"/>
        <v>0</v>
      </c>
    </row>
    <row r="216" spans="1:16">
      <c r="A216" s="18"/>
      <c r="B216" s="18" t="s">
        <v>578</v>
      </c>
      <c r="C216" s="18"/>
      <c r="D216" s="466">
        <v>0</v>
      </c>
      <c r="E216" s="466">
        <v>0</v>
      </c>
      <c r="F216" s="466">
        <v>0</v>
      </c>
      <c r="G216" s="466">
        <v>0</v>
      </c>
      <c r="H216" s="466">
        <v>0</v>
      </c>
      <c r="I216" s="466">
        <v>0</v>
      </c>
      <c r="J216" s="466">
        <v>0</v>
      </c>
      <c r="K216" s="466">
        <v>0</v>
      </c>
      <c r="L216" s="466">
        <v>0</v>
      </c>
      <c r="M216" s="466">
        <v>0</v>
      </c>
      <c r="N216" s="466">
        <v>0</v>
      </c>
      <c r="O216" s="466">
        <v>0</v>
      </c>
      <c r="P216" s="466">
        <f t="shared" si="46"/>
        <v>0</v>
      </c>
    </row>
    <row r="217" spans="1:16">
      <c r="A217" s="18"/>
      <c r="B217" s="18" t="s">
        <v>579</v>
      </c>
      <c r="C217" s="18"/>
      <c r="D217" s="466">
        <v>0</v>
      </c>
      <c r="E217" s="466">
        <v>0</v>
      </c>
      <c r="F217" s="466">
        <v>0</v>
      </c>
      <c r="G217" s="466">
        <v>0</v>
      </c>
      <c r="H217" s="466">
        <v>0</v>
      </c>
      <c r="I217" s="466">
        <v>0</v>
      </c>
      <c r="J217" s="466">
        <v>0</v>
      </c>
      <c r="K217" s="466">
        <v>0</v>
      </c>
      <c r="L217" s="466">
        <v>0</v>
      </c>
      <c r="M217" s="466">
        <v>0</v>
      </c>
      <c r="N217" s="466">
        <v>0</v>
      </c>
      <c r="O217" s="466">
        <v>0</v>
      </c>
      <c r="P217" s="466">
        <f t="shared" si="46"/>
        <v>0</v>
      </c>
    </row>
    <row r="218" spans="1:16">
      <c r="A218" s="18"/>
      <c r="B218" s="18" t="s">
        <v>580</v>
      </c>
      <c r="C218" s="18"/>
      <c r="D218" s="466">
        <v>0</v>
      </c>
      <c r="E218" s="466">
        <v>0</v>
      </c>
      <c r="F218" s="466">
        <v>0</v>
      </c>
      <c r="G218" s="466">
        <v>0</v>
      </c>
      <c r="H218" s="466">
        <v>0</v>
      </c>
      <c r="I218" s="466">
        <v>0</v>
      </c>
      <c r="J218" s="466">
        <v>0</v>
      </c>
      <c r="K218" s="466">
        <v>0</v>
      </c>
      <c r="L218" s="466">
        <v>0</v>
      </c>
      <c r="M218" s="466">
        <v>0</v>
      </c>
      <c r="N218" s="466">
        <v>0</v>
      </c>
      <c r="O218" s="466">
        <v>0</v>
      </c>
      <c r="P218" s="466">
        <f t="shared" si="46"/>
        <v>0</v>
      </c>
    </row>
    <row r="219" spans="1:16">
      <c r="A219" s="18"/>
      <c r="B219" s="18" t="s">
        <v>581</v>
      </c>
      <c r="C219" s="18"/>
      <c r="D219" s="466">
        <v>0</v>
      </c>
      <c r="E219" s="466">
        <v>0</v>
      </c>
      <c r="F219" s="466">
        <v>0</v>
      </c>
      <c r="G219" s="466">
        <v>0</v>
      </c>
      <c r="H219" s="466">
        <v>0</v>
      </c>
      <c r="I219" s="466">
        <v>0</v>
      </c>
      <c r="J219" s="466">
        <v>0</v>
      </c>
      <c r="K219" s="466">
        <v>0</v>
      </c>
      <c r="L219" s="466">
        <v>0</v>
      </c>
      <c r="M219" s="466">
        <v>0</v>
      </c>
      <c r="N219" s="466">
        <v>0</v>
      </c>
      <c r="O219" s="466">
        <v>0</v>
      </c>
      <c r="P219" s="466">
        <f t="shared" si="46"/>
        <v>0</v>
      </c>
    </row>
    <row r="220" spans="1:16">
      <c r="A220" s="18"/>
      <c r="B220" s="18" t="s">
        <v>650</v>
      </c>
      <c r="C220" s="18"/>
      <c r="D220" s="466"/>
      <c r="E220" s="466"/>
      <c r="F220" s="466"/>
      <c r="G220" s="466"/>
      <c r="H220" s="466">
        <v>0</v>
      </c>
      <c r="I220" s="466">
        <v>0</v>
      </c>
      <c r="J220" s="466">
        <v>0</v>
      </c>
      <c r="K220" s="466">
        <v>0</v>
      </c>
      <c r="L220" s="466">
        <v>0</v>
      </c>
      <c r="M220" s="466">
        <v>0</v>
      </c>
      <c r="N220" s="466">
        <v>0</v>
      </c>
      <c r="O220" s="466">
        <v>0</v>
      </c>
      <c r="P220" s="466">
        <f t="shared" si="46"/>
        <v>0</v>
      </c>
    </row>
    <row r="221" spans="1:16">
      <c r="A221" s="18"/>
      <c r="B221" s="18" t="s">
        <v>64</v>
      </c>
      <c r="C221" s="18"/>
      <c r="D221" s="466">
        <f>SUM(D210:D220)</f>
        <v>5751806.8470000001</v>
      </c>
      <c r="E221" s="466">
        <f t="shared" ref="E221:O221" si="47">SUM(E210:E220)</f>
        <v>5851891.676</v>
      </c>
      <c r="F221" s="466">
        <f t="shared" si="47"/>
        <v>6199855.0650000004</v>
      </c>
      <c r="G221" s="466">
        <f t="shared" si="47"/>
        <v>3368431.1839999999</v>
      </c>
      <c r="H221" s="466">
        <f t="shared" si="47"/>
        <v>724557.46200000006</v>
      </c>
      <c r="I221" s="466">
        <f t="shared" si="47"/>
        <v>18899.151999999998</v>
      </c>
      <c r="J221" s="466">
        <f t="shared" si="47"/>
        <v>15746.31</v>
      </c>
      <c r="K221" s="466">
        <f t="shared" si="47"/>
        <v>11822.290999999999</v>
      </c>
      <c r="L221" s="466">
        <f t="shared" si="47"/>
        <v>11107.718999999999</v>
      </c>
      <c r="M221" s="466">
        <f t="shared" si="47"/>
        <v>980022.82700000005</v>
      </c>
      <c r="N221" s="466">
        <f t="shared" si="47"/>
        <v>3247500.335</v>
      </c>
      <c r="O221" s="466">
        <f t="shared" si="47"/>
        <v>5905579.9649999999</v>
      </c>
      <c r="P221" s="466">
        <f>SUM(P210:P220)</f>
        <v>32087220.833000001</v>
      </c>
    </row>
    <row r="222" spans="1:16">
      <c r="A222" s="18" t="s">
        <v>554</v>
      </c>
      <c r="B222" s="18" t="s">
        <v>572</v>
      </c>
      <c r="C222" s="18"/>
      <c r="D222" s="466">
        <v>0</v>
      </c>
      <c r="E222" s="466">
        <v>0</v>
      </c>
      <c r="F222" s="466">
        <v>0</v>
      </c>
      <c r="G222" s="466">
        <v>0</v>
      </c>
      <c r="H222" s="466">
        <v>0</v>
      </c>
      <c r="I222" s="466">
        <v>0</v>
      </c>
      <c r="J222" s="466">
        <v>0</v>
      </c>
      <c r="K222" s="466">
        <v>0</v>
      </c>
      <c r="L222" s="466">
        <v>0</v>
      </c>
      <c r="M222" s="466">
        <v>0</v>
      </c>
      <c r="N222" s="466">
        <v>0</v>
      </c>
      <c r="O222" s="466">
        <v>0</v>
      </c>
      <c r="P222" s="466">
        <f t="shared" ref="P222:P223" si="48">SUM(D222:O222)</f>
        <v>0</v>
      </c>
    </row>
    <row r="223" spans="1:16">
      <c r="A223" s="18"/>
      <c r="B223" s="18" t="s">
        <v>584</v>
      </c>
      <c r="C223" s="18"/>
      <c r="D223" s="466">
        <v>0</v>
      </c>
      <c r="E223" s="466">
        <v>0</v>
      </c>
      <c r="F223" s="466">
        <v>0</v>
      </c>
      <c r="G223" s="466">
        <v>0</v>
      </c>
      <c r="H223" s="466">
        <v>0</v>
      </c>
      <c r="I223" s="466">
        <v>0</v>
      </c>
      <c r="J223" s="466">
        <v>0</v>
      </c>
      <c r="K223" s="466">
        <v>0</v>
      </c>
      <c r="L223" s="466">
        <v>0</v>
      </c>
      <c r="M223" s="466">
        <v>0</v>
      </c>
      <c r="N223" s="466">
        <v>0</v>
      </c>
      <c r="O223" s="466">
        <v>0</v>
      </c>
      <c r="P223" s="466">
        <f t="shared" si="48"/>
        <v>0</v>
      </c>
    </row>
    <row r="224" spans="1:16">
      <c r="A224" s="18"/>
      <c r="B224" s="18" t="s">
        <v>573</v>
      </c>
      <c r="C224" s="18"/>
      <c r="D224" s="466">
        <v>3939093.9316699998</v>
      </c>
      <c r="E224" s="466">
        <v>3758265.5180000002</v>
      </c>
      <c r="F224" s="466">
        <v>4328424.3271700004</v>
      </c>
      <c r="G224" s="466">
        <v>2575503.5581499999</v>
      </c>
      <c r="H224" s="466">
        <v>2291029.2623299998</v>
      </c>
      <c r="I224" s="466">
        <v>1901285.8908500001</v>
      </c>
      <c r="J224" s="466">
        <v>1715872.5842899999</v>
      </c>
      <c r="K224" s="466">
        <v>1233506.3535</v>
      </c>
      <c r="L224" s="466">
        <v>1928789.7294999999</v>
      </c>
      <c r="M224" s="466">
        <v>1758653.9735000001</v>
      </c>
      <c r="N224" s="466">
        <v>3299842.8331599999</v>
      </c>
      <c r="O224" s="466">
        <v>4066272.7455000002</v>
      </c>
      <c r="P224" s="466">
        <f>SUM(D224:O224)</f>
        <v>32796540.707620002</v>
      </c>
    </row>
    <row r="225" spans="1:16">
      <c r="A225" s="18"/>
      <c r="B225" s="18" t="s">
        <v>574</v>
      </c>
      <c r="C225" s="18"/>
      <c r="D225" s="466">
        <v>1261849.673</v>
      </c>
      <c r="E225" s="466">
        <v>1342206.459</v>
      </c>
      <c r="F225" s="466">
        <v>1357248.40433</v>
      </c>
      <c r="G225" s="466">
        <v>964055.67604000005</v>
      </c>
      <c r="H225" s="466">
        <v>454578.76332999999</v>
      </c>
      <c r="I225" s="466">
        <v>483674.91833999997</v>
      </c>
      <c r="J225" s="466">
        <v>483122.08317</v>
      </c>
      <c r="K225" s="466">
        <v>348205.49167000002</v>
      </c>
      <c r="L225" s="466">
        <v>546583.57700000005</v>
      </c>
      <c r="M225" s="466">
        <v>382454.07549999998</v>
      </c>
      <c r="N225" s="466">
        <v>956565.70166999998</v>
      </c>
      <c r="O225" s="466">
        <v>1313530.8666699999</v>
      </c>
      <c r="P225" s="466">
        <f t="shared" ref="P225:P234" si="49">SUM(D225:O225)</f>
        <v>9894075.6897200011</v>
      </c>
    </row>
    <row r="226" spans="1:16">
      <c r="A226" s="18"/>
      <c r="B226" s="18" t="s">
        <v>575</v>
      </c>
      <c r="C226" s="18"/>
      <c r="D226" s="466">
        <v>7250170.7593299998</v>
      </c>
      <c r="E226" s="466">
        <v>10745499.838</v>
      </c>
      <c r="F226" s="466">
        <v>12499052.634500001</v>
      </c>
      <c r="G226" s="466">
        <v>8499501.3598100003</v>
      </c>
      <c r="H226" s="466">
        <v>2509992.8583399998</v>
      </c>
      <c r="I226" s="466">
        <v>2600944.0948200002</v>
      </c>
      <c r="J226" s="466">
        <v>2369945.89964</v>
      </c>
      <c r="K226" s="466">
        <v>1803645.01483</v>
      </c>
      <c r="L226" s="466">
        <v>2417412.3344999999</v>
      </c>
      <c r="M226" s="466">
        <v>1585683.314</v>
      </c>
      <c r="N226" s="466">
        <v>3753125.09717</v>
      </c>
      <c r="O226" s="466">
        <v>7577762.9798299996</v>
      </c>
      <c r="P226" s="466">
        <f t="shared" si="49"/>
        <v>63612736.18477001</v>
      </c>
    </row>
    <row r="227" spans="1:16">
      <c r="A227" s="18"/>
      <c r="B227" s="18" t="s">
        <v>571</v>
      </c>
      <c r="C227" s="18"/>
      <c r="D227" s="466">
        <v>0</v>
      </c>
      <c r="E227" s="466">
        <v>0</v>
      </c>
      <c r="F227" s="466">
        <v>0</v>
      </c>
      <c r="G227" s="466">
        <v>0</v>
      </c>
      <c r="H227" s="466">
        <v>0</v>
      </c>
      <c r="I227" s="466">
        <v>0</v>
      </c>
      <c r="J227" s="466">
        <v>0</v>
      </c>
      <c r="K227" s="466">
        <v>0</v>
      </c>
      <c r="L227" s="466">
        <v>0</v>
      </c>
      <c r="M227" s="466">
        <v>0</v>
      </c>
      <c r="N227" s="466">
        <v>0</v>
      </c>
      <c r="O227" s="466">
        <v>0</v>
      </c>
      <c r="P227" s="466">
        <f t="shared" si="49"/>
        <v>0</v>
      </c>
    </row>
    <row r="228" spans="1:16">
      <c r="A228" s="18"/>
      <c r="B228" s="18" t="s">
        <v>621</v>
      </c>
      <c r="C228" s="18"/>
      <c r="D228" s="466">
        <v>0</v>
      </c>
      <c r="E228" s="466">
        <v>0</v>
      </c>
      <c r="F228" s="466">
        <v>0</v>
      </c>
      <c r="G228" s="466">
        <v>0</v>
      </c>
      <c r="H228" s="466">
        <v>0</v>
      </c>
      <c r="I228" s="466">
        <v>0</v>
      </c>
      <c r="J228" s="466">
        <v>0</v>
      </c>
      <c r="K228" s="466">
        <v>0</v>
      </c>
      <c r="L228" s="466">
        <v>0</v>
      </c>
      <c r="M228" s="466">
        <v>0</v>
      </c>
      <c r="N228" s="466">
        <v>0</v>
      </c>
      <c r="O228" s="466">
        <v>0</v>
      </c>
      <c r="P228" s="466">
        <f t="shared" si="49"/>
        <v>0</v>
      </c>
    </row>
    <row r="229" spans="1:16">
      <c r="A229" s="18"/>
      <c r="B229" s="18" t="s">
        <v>577</v>
      </c>
      <c r="C229" s="18"/>
      <c r="D229" s="466">
        <v>0</v>
      </c>
      <c r="E229" s="466">
        <v>0</v>
      </c>
      <c r="F229" s="466">
        <v>0</v>
      </c>
      <c r="G229" s="466">
        <v>0</v>
      </c>
      <c r="H229" s="466">
        <v>0</v>
      </c>
      <c r="I229" s="466">
        <v>0</v>
      </c>
      <c r="J229" s="466">
        <v>0</v>
      </c>
      <c r="K229" s="466">
        <v>0</v>
      </c>
      <c r="L229" s="466">
        <v>0</v>
      </c>
      <c r="M229" s="466">
        <v>0</v>
      </c>
      <c r="N229" s="466">
        <v>0</v>
      </c>
      <c r="O229" s="466">
        <v>0</v>
      </c>
      <c r="P229" s="466">
        <f t="shared" si="49"/>
        <v>0</v>
      </c>
    </row>
    <row r="230" spans="1:16">
      <c r="A230" s="18"/>
      <c r="B230" s="18" t="s">
        <v>578</v>
      </c>
      <c r="C230" s="18"/>
      <c r="D230" s="466">
        <v>0</v>
      </c>
      <c r="E230" s="466">
        <v>0</v>
      </c>
      <c r="F230" s="466">
        <v>0</v>
      </c>
      <c r="G230" s="466">
        <v>0</v>
      </c>
      <c r="H230" s="466">
        <v>0</v>
      </c>
      <c r="I230" s="466">
        <v>0</v>
      </c>
      <c r="J230" s="466">
        <v>0</v>
      </c>
      <c r="K230" s="466">
        <v>0</v>
      </c>
      <c r="L230" s="466">
        <v>0</v>
      </c>
      <c r="M230" s="466">
        <v>0</v>
      </c>
      <c r="N230" s="466">
        <v>0</v>
      </c>
      <c r="O230" s="466">
        <v>0</v>
      </c>
      <c r="P230" s="466">
        <f t="shared" si="49"/>
        <v>0</v>
      </c>
    </row>
    <row r="231" spans="1:16">
      <c r="A231" s="18"/>
      <c r="B231" s="18" t="s">
        <v>579</v>
      </c>
      <c r="C231" s="18"/>
      <c r="D231" s="466">
        <v>0</v>
      </c>
      <c r="E231" s="466">
        <v>0</v>
      </c>
      <c r="F231" s="466">
        <v>0</v>
      </c>
      <c r="G231" s="466">
        <v>0</v>
      </c>
      <c r="H231" s="466">
        <v>0</v>
      </c>
      <c r="I231" s="466">
        <v>0</v>
      </c>
      <c r="J231" s="466">
        <v>0</v>
      </c>
      <c r="K231" s="466">
        <v>0</v>
      </c>
      <c r="L231" s="466">
        <v>0</v>
      </c>
      <c r="M231" s="466">
        <v>0</v>
      </c>
      <c r="N231" s="466">
        <v>0</v>
      </c>
      <c r="O231" s="466">
        <v>0</v>
      </c>
      <c r="P231" s="466">
        <f t="shared" si="49"/>
        <v>0</v>
      </c>
    </row>
    <row r="232" spans="1:16">
      <c r="A232" s="18"/>
      <c r="B232" s="18" t="s">
        <v>580</v>
      </c>
      <c r="C232" s="18"/>
      <c r="D232" s="466">
        <v>0</v>
      </c>
      <c r="E232" s="466">
        <v>0</v>
      </c>
      <c r="F232" s="466">
        <v>0</v>
      </c>
      <c r="G232" s="466">
        <v>0</v>
      </c>
      <c r="H232" s="466">
        <v>0</v>
      </c>
      <c r="I232" s="466">
        <v>0</v>
      </c>
      <c r="J232" s="466">
        <v>0</v>
      </c>
      <c r="K232" s="466">
        <v>0</v>
      </c>
      <c r="L232" s="466">
        <v>0</v>
      </c>
      <c r="M232" s="466">
        <v>0</v>
      </c>
      <c r="N232" s="466">
        <v>0</v>
      </c>
      <c r="O232" s="466">
        <v>0</v>
      </c>
      <c r="P232" s="466">
        <f t="shared" si="49"/>
        <v>0</v>
      </c>
    </row>
    <row r="233" spans="1:16">
      <c r="A233" s="18"/>
      <c r="B233" s="18" t="s">
        <v>581</v>
      </c>
      <c r="C233" s="18"/>
      <c r="D233" s="466">
        <v>0</v>
      </c>
      <c r="E233" s="466">
        <v>0</v>
      </c>
      <c r="F233" s="466">
        <v>0</v>
      </c>
      <c r="G233" s="466">
        <v>0</v>
      </c>
      <c r="H233" s="466">
        <v>0</v>
      </c>
      <c r="I233" s="466">
        <v>0</v>
      </c>
      <c r="J233" s="466">
        <v>0</v>
      </c>
      <c r="K233" s="466">
        <v>0</v>
      </c>
      <c r="L233" s="466">
        <v>0</v>
      </c>
      <c r="M233" s="466">
        <v>0</v>
      </c>
      <c r="N233" s="466">
        <v>0</v>
      </c>
      <c r="O233" s="466">
        <v>0</v>
      </c>
      <c r="P233" s="466">
        <f t="shared" si="49"/>
        <v>0</v>
      </c>
    </row>
    <row r="234" spans="1:16">
      <c r="A234" s="18"/>
      <c r="B234" s="18" t="s">
        <v>650</v>
      </c>
      <c r="C234" s="18"/>
      <c r="D234" s="466"/>
      <c r="E234" s="466"/>
      <c r="F234" s="466"/>
      <c r="G234" s="466"/>
      <c r="H234" s="466">
        <v>0</v>
      </c>
      <c r="I234" s="466">
        <v>0</v>
      </c>
      <c r="J234" s="466">
        <v>0</v>
      </c>
      <c r="K234" s="466">
        <v>0</v>
      </c>
      <c r="L234" s="466">
        <v>0</v>
      </c>
      <c r="M234" s="466">
        <v>0</v>
      </c>
      <c r="N234" s="466">
        <v>0</v>
      </c>
      <c r="O234" s="466">
        <v>0</v>
      </c>
      <c r="P234" s="466">
        <f t="shared" si="49"/>
        <v>0</v>
      </c>
    </row>
    <row r="235" spans="1:16">
      <c r="A235" s="18"/>
      <c r="B235" s="18" t="s">
        <v>64</v>
      </c>
      <c r="C235" s="18"/>
      <c r="D235" s="466">
        <f>SUM(D222:D234)</f>
        <v>12451114.364</v>
      </c>
      <c r="E235" s="466">
        <f t="shared" ref="E235:P235" si="50">SUM(E222:E234)</f>
        <v>15845971.814999999</v>
      </c>
      <c r="F235" s="466">
        <f t="shared" si="50"/>
        <v>18184725.366</v>
      </c>
      <c r="G235" s="466">
        <f t="shared" si="50"/>
        <v>12039060.594000001</v>
      </c>
      <c r="H235" s="466">
        <f t="shared" si="50"/>
        <v>5255600.8839999996</v>
      </c>
      <c r="I235" s="466">
        <f t="shared" si="50"/>
        <v>4985904.9040099997</v>
      </c>
      <c r="J235" s="466">
        <f t="shared" si="50"/>
        <v>4568940.5670999996</v>
      </c>
      <c r="K235" s="466">
        <f t="shared" si="50"/>
        <v>3385356.8600000003</v>
      </c>
      <c r="L235" s="466">
        <f t="shared" si="50"/>
        <v>4892785.6409999998</v>
      </c>
      <c r="M235" s="466">
        <f t="shared" si="50"/>
        <v>3726791.3629999999</v>
      </c>
      <c r="N235" s="466">
        <f t="shared" si="50"/>
        <v>8009533.6320000002</v>
      </c>
      <c r="O235" s="466">
        <f t="shared" si="50"/>
        <v>12957566.592</v>
      </c>
      <c r="P235" s="466">
        <f t="shared" si="50"/>
        <v>106303352.58211002</v>
      </c>
    </row>
    <row r="236" spans="1:16">
      <c r="A236" s="18" t="s">
        <v>555</v>
      </c>
      <c r="B236" s="18" t="s">
        <v>572</v>
      </c>
      <c r="C236" s="18"/>
      <c r="D236" s="466">
        <v>0</v>
      </c>
      <c r="E236" s="466">
        <v>0</v>
      </c>
      <c r="F236" s="466">
        <v>0</v>
      </c>
      <c r="G236" s="466">
        <v>0</v>
      </c>
      <c r="H236" s="466">
        <v>0</v>
      </c>
      <c r="I236" s="466">
        <v>0</v>
      </c>
      <c r="J236" s="466">
        <v>0</v>
      </c>
      <c r="K236" s="466">
        <v>0</v>
      </c>
      <c r="L236" s="466">
        <v>0</v>
      </c>
      <c r="M236" s="466">
        <v>0</v>
      </c>
      <c r="N236" s="466">
        <v>0</v>
      </c>
      <c r="O236" s="466">
        <v>0</v>
      </c>
      <c r="P236" s="466">
        <f>SUM(D236:O236)</f>
        <v>0</v>
      </c>
    </row>
    <row r="237" spans="1:16">
      <c r="A237" s="18"/>
      <c r="B237" s="18" t="s">
        <v>573</v>
      </c>
      <c r="C237" s="18"/>
      <c r="D237" s="466">
        <v>376255.16733999999</v>
      </c>
      <c r="E237" s="466">
        <v>492501.511</v>
      </c>
      <c r="F237" s="466">
        <v>448670.40500999999</v>
      </c>
      <c r="G237" s="466">
        <v>293469.39233</v>
      </c>
      <c r="H237" s="466">
        <v>197970.40117</v>
      </c>
      <c r="I237" s="466">
        <v>152659.54736</v>
      </c>
      <c r="J237" s="466">
        <v>159416.93523999999</v>
      </c>
      <c r="K237" s="466">
        <v>136034.10884</v>
      </c>
      <c r="L237" s="466">
        <v>154348.52050000001</v>
      </c>
      <c r="M237" s="466">
        <v>167971.01834000001</v>
      </c>
      <c r="N237" s="466">
        <v>281491.26299999998</v>
      </c>
      <c r="O237" s="466">
        <v>376022.47583000001</v>
      </c>
      <c r="P237" s="466">
        <f>SUM(D237:O237)</f>
        <v>3236810.7459599995</v>
      </c>
    </row>
    <row r="238" spans="1:16">
      <c r="A238" s="18"/>
      <c r="B238" s="18" t="s">
        <v>574</v>
      </c>
      <c r="C238" s="18"/>
      <c r="D238" s="466">
        <v>203268.63466000001</v>
      </c>
      <c r="E238" s="466">
        <v>328843.48700000002</v>
      </c>
      <c r="F238" s="466">
        <v>280899.72999000002</v>
      </c>
      <c r="G238" s="466">
        <v>136704.15466999999</v>
      </c>
      <c r="H238" s="466">
        <v>78746.129329999996</v>
      </c>
      <c r="I238" s="466">
        <v>101079.48066</v>
      </c>
      <c r="J238" s="466">
        <v>104190.03934</v>
      </c>
      <c r="K238" s="466">
        <v>84905.709659999993</v>
      </c>
      <c r="L238" s="466">
        <v>96492.59</v>
      </c>
      <c r="M238" s="466">
        <v>79455.691659999997</v>
      </c>
      <c r="N238" s="466">
        <v>132993.886</v>
      </c>
      <c r="O238" s="466">
        <v>204502.98316999999</v>
      </c>
      <c r="P238" s="466">
        <f t="shared" ref="P238:P248" si="51">SUM(D238:O238)</f>
        <v>1832082.5161399997</v>
      </c>
    </row>
    <row r="239" spans="1:16">
      <c r="A239" s="18"/>
      <c r="B239" s="18" t="s">
        <v>575</v>
      </c>
      <c r="C239" s="18"/>
      <c r="D239" s="466">
        <v>454012.98300000001</v>
      </c>
      <c r="E239" s="466">
        <v>1006991.24</v>
      </c>
      <c r="F239" s="466">
        <v>677460.34600000002</v>
      </c>
      <c r="G239" s="466">
        <v>227976.11900000001</v>
      </c>
      <c r="H239" s="466">
        <v>124872.7595</v>
      </c>
      <c r="I239" s="466">
        <v>164915.30898999999</v>
      </c>
      <c r="J239" s="466">
        <v>194778.03649</v>
      </c>
      <c r="K239" s="466">
        <v>156843.53150000001</v>
      </c>
      <c r="L239" s="466">
        <v>164421.50450000001</v>
      </c>
      <c r="M239" s="466">
        <v>159509.103</v>
      </c>
      <c r="N239" s="466">
        <v>252912.592</v>
      </c>
      <c r="O239" s="466">
        <v>437305.26</v>
      </c>
      <c r="P239" s="466">
        <f t="shared" si="51"/>
        <v>4021998.7839799998</v>
      </c>
    </row>
    <row r="240" spans="1:16">
      <c r="A240" s="18"/>
      <c r="B240" s="18" t="s">
        <v>571</v>
      </c>
      <c r="C240" s="18"/>
      <c r="D240" s="466">
        <v>0</v>
      </c>
      <c r="E240" s="466">
        <v>0</v>
      </c>
      <c r="F240" s="466">
        <v>0</v>
      </c>
      <c r="G240" s="466">
        <v>0</v>
      </c>
      <c r="H240" s="466">
        <v>0</v>
      </c>
      <c r="I240" s="466">
        <v>0</v>
      </c>
      <c r="J240" s="466">
        <v>0</v>
      </c>
      <c r="K240" s="466">
        <v>0</v>
      </c>
      <c r="L240" s="466">
        <v>0</v>
      </c>
      <c r="M240" s="466">
        <v>0</v>
      </c>
      <c r="N240" s="466">
        <v>0</v>
      </c>
      <c r="O240" s="466">
        <v>0</v>
      </c>
      <c r="P240" s="466">
        <f t="shared" si="51"/>
        <v>0</v>
      </c>
    </row>
    <row r="241" spans="1:16">
      <c r="A241" s="18"/>
      <c r="B241" s="18" t="s">
        <v>576</v>
      </c>
      <c r="C241" s="18"/>
      <c r="D241" s="466">
        <v>0</v>
      </c>
      <c r="E241" s="466">
        <v>0</v>
      </c>
      <c r="F241" s="466">
        <v>0</v>
      </c>
      <c r="G241" s="466">
        <v>0</v>
      </c>
      <c r="H241" s="466">
        <v>0</v>
      </c>
      <c r="I241" s="466">
        <v>0</v>
      </c>
      <c r="J241" s="466">
        <v>0</v>
      </c>
      <c r="K241" s="466">
        <v>0</v>
      </c>
      <c r="L241" s="466">
        <v>0</v>
      </c>
      <c r="M241" s="466">
        <v>0</v>
      </c>
      <c r="N241" s="466">
        <v>0</v>
      </c>
      <c r="O241" s="466">
        <v>0</v>
      </c>
      <c r="P241" s="466">
        <f t="shared" si="51"/>
        <v>0</v>
      </c>
    </row>
    <row r="242" spans="1:16">
      <c r="A242" s="18"/>
      <c r="B242" s="18" t="s">
        <v>621</v>
      </c>
      <c r="C242" s="18"/>
      <c r="D242" s="466">
        <v>0</v>
      </c>
      <c r="E242" s="466">
        <v>0</v>
      </c>
      <c r="F242" s="466">
        <v>0</v>
      </c>
      <c r="G242" s="466">
        <v>0</v>
      </c>
      <c r="H242" s="466">
        <v>0</v>
      </c>
      <c r="I242" s="466">
        <v>0</v>
      </c>
      <c r="J242" s="466">
        <v>0</v>
      </c>
      <c r="K242" s="466">
        <v>0</v>
      </c>
      <c r="L242" s="466">
        <v>0</v>
      </c>
      <c r="M242" s="466">
        <v>0</v>
      </c>
      <c r="N242" s="466">
        <v>0</v>
      </c>
      <c r="O242" s="466">
        <v>0</v>
      </c>
      <c r="P242" s="466">
        <f t="shared" si="51"/>
        <v>0</v>
      </c>
    </row>
    <row r="243" spans="1:16">
      <c r="A243" s="18"/>
      <c r="B243" s="18" t="s">
        <v>577</v>
      </c>
      <c r="C243" s="18"/>
      <c r="D243" s="466">
        <v>0</v>
      </c>
      <c r="E243" s="466">
        <v>0</v>
      </c>
      <c r="F243" s="466">
        <v>0</v>
      </c>
      <c r="G243" s="466">
        <v>0</v>
      </c>
      <c r="H243" s="466">
        <v>0</v>
      </c>
      <c r="I243" s="466">
        <v>0</v>
      </c>
      <c r="J243" s="466">
        <v>0</v>
      </c>
      <c r="K243" s="466">
        <v>0</v>
      </c>
      <c r="L243" s="466">
        <v>0</v>
      </c>
      <c r="M243" s="466">
        <v>0</v>
      </c>
      <c r="N243" s="466">
        <v>0</v>
      </c>
      <c r="O243" s="466">
        <v>0</v>
      </c>
      <c r="P243" s="466">
        <f t="shared" si="51"/>
        <v>0</v>
      </c>
    </row>
    <row r="244" spans="1:16">
      <c r="A244" s="18"/>
      <c r="B244" s="18" t="s">
        <v>578</v>
      </c>
      <c r="C244" s="18"/>
      <c r="D244" s="466">
        <v>0</v>
      </c>
      <c r="E244" s="466">
        <v>0</v>
      </c>
      <c r="F244" s="466">
        <v>0</v>
      </c>
      <c r="G244" s="466">
        <v>0</v>
      </c>
      <c r="H244" s="466">
        <v>0</v>
      </c>
      <c r="I244" s="466">
        <v>0</v>
      </c>
      <c r="J244" s="466">
        <v>0</v>
      </c>
      <c r="K244" s="466">
        <v>0</v>
      </c>
      <c r="L244" s="466">
        <v>0</v>
      </c>
      <c r="M244" s="466">
        <v>0</v>
      </c>
      <c r="N244" s="466">
        <v>0</v>
      </c>
      <c r="O244" s="466">
        <v>0</v>
      </c>
      <c r="P244" s="466">
        <f t="shared" si="51"/>
        <v>0</v>
      </c>
    </row>
    <row r="245" spans="1:16">
      <c r="A245" s="18"/>
      <c r="B245" s="18" t="s">
        <v>579</v>
      </c>
      <c r="C245" s="18"/>
      <c r="D245" s="466">
        <v>0</v>
      </c>
      <c r="E245" s="466">
        <v>0</v>
      </c>
      <c r="F245" s="466">
        <v>0</v>
      </c>
      <c r="G245" s="466">
        <v>0</v>
      </c>
      <c r="H245" s="466">
        <v>0</v>
      </c>
      <c r="I245" s="466">
        <v>0</v>
      </c>
      <c r="J245" s="466">
        <v>0</v>
      </c>
      <c r="K245" s="466">
        <v>0</v>
      </c>
      <c r="L245" s="466">
        <v>0</v>
      </c>
      <c r="M245" s="466">
        <v>0</v>
      </c>
      <c r="N245" s="466">
        <v>0</v>
      </c>
      <c r="O245" s="466">
        <v>0</v>
      </c>
      <c r="P245" s="466">
        <f t="shared" si="51"/>
        <v>0</v>
      </c>
    </row>
    <row r="246" spans="1:16">
      <c r="A246" s="18"/>
      <c r="B246" s="18" t="s">
        <v>580</v>
      </c>
      <c r="C246" s="18"/>
      <c r="D246" s="466">
        <v>0</v>
      </c>
      <c r="E246" s="466">
        <v>0</v>
      </c>
      <c r="F246" s="466">
        <v>0</v>
      </c>
      <c r="G246" s="466">
        <v>0</v>
      </c>
      <c r="H246" s="466">
        <v>0</v>
      </c>
      <c r="I246" s="466">
        <v>0</v>
      </c>
      <c r="J246" s="466">
        <v>0</v>
      </c>
      <c r="K246" s="466">
        <v>0</v>
      </c>
      <c r="L246" s="466">
        <v>0</v>
      </c>
      <c r="M246" s="466">
        <v>0</v>
      </c>
      <c r="N246" s="466">
        <v>0</v>
      </c>
      <c r="O246" s="466">
        <v>0</v>
      </c>
      <c r="P246" s="466">
        <f t="shared" si="51"/>
        <v>0</v>
      </c>
    </row>
    <row r="247" spans="1:16">
      <c r="A247" s="18"/>
      <c r="B247" s="18" t="s">
        <v>581</v>
      </c>
      <c r="C247" s="18"/>
      <c r="D247" s="466">
        <v>0</v>
      </c>
      <c r="E247" s="466">
        <v>0</v>
      </c>
      <c r="F247" s="466">
        <v>0</v>
      </c>
      <c r="G247" s="466">
        <v>0</v>
      </c>
      <c r="H247" s="466">
        <v>0</v>
      </c>
      <c r="I247" s="466">
        <v>0</v>
      </c>
      <c r="J247" s="466">
        <v>0</v>
      </c>
      <c r="K247" s="466">
        <v>0</v>
      </c>
      <c r="L247" s="466">
        <v>0</v>
      </c>
      <c r="M247" s="466">
        <v>0</v>
      </c>
      <c r="N247" s="466">
        <v>0</v>
      </c>
      <c r="O247" s="466">
        <v>0</v>
      </c>
      <c r="P247" s="466">
        <f t="shared" si="51"/>
        <v>0</v>
      </c>
    </row>
    <row r="248" spans="1:16">
      <c r="A248" s="18"/>
      <c r="B248" s="18" t="s">
        <v>650</v>
      </c>
      <c r="C248" s="18"/>
      <c r="D248" s="466"/>
      <c r="E248" s="466"/>
      <c r="F248" s="466"/>
      <c r="G248" s="466"/>
      <c r="H248" s="466">
        <v>0</v>
      </c>
      <c r="I248" s="466">
        <v>0</v>
      </c>
      <c r="J248" s="466">
        <v>0</v>
      </c>
      <c r="K248" s="466">
        <v>0</v>
      </c>
      <c r="L248" s="466">
        <v>0</v>
      </c>
      <c r="M248" s="466">
        <v>0</v>
      </c>
      <c r="N248" s="466">
        <v>0</v>
      </c>
      <c r="O248" s="466">
        <v>0</v>
      </c>
      <c r="P248" s="466">
        <f t="shared" si="51"/>
        <v>0</v>
      </c>
    </row>
    <row r="249" spans="1:16">
      <c r="A249" s="18"/>
      <c r="B249" s="18" t="s">
        <v>64</v>
      </c>
      <c r="C249" s="18"/>
      <c r="D249" s="466">
        <f>SUM(D236:D248)</f>
        <v>1033536.785</v>
      </c>
      <c r="E249" s="466">
        <f>SUM(E236:E248)</f>
        <v>1828336.2379999999</v>
      </c>
      <c r="F249" s="466">
        <f t="shared" ref="F249:P249" si="52">SUM(F236:F248)</f>
        <v>1407030.4810000001</v>
      </c>
      <c r="G249" s="466">
        <f t="shared" si="52"/>
        <v>658149.66599999997</v>
      </c>
      <c r="H249" s="466">
        <f t="shared" si="52"/>
        <v>401589.29</v>
      </c>
      <c r="I249" s="466">
        <f t="shared" si="52"/>
        <v>418654.33701000002</v>
      </c>
      <c r="J249" s="466">
        <f t="shared" si="52"/>
        <v>458385.01107000001</v>
      </c>
      <c r="K249" s="466">
        <f t="shared" si="52"/>
        <v>377783.35</v>
      </c>
      <c r="L249" s="466">
        <f t="shared" si="52"/>
        <v>415262.61499999999</v>
      </c>
      <c r="M249" s="466">
        <f t="shared" si="52"/>
        <v>406935.81300000002</v>
      </c>
      <c r="N249" s="466">
        <f t="shared" si="52"/>
        <v>667397.74099999992</v>
      </c>
      <c r="O249" s="466">
        <f t="shared" si="52"/>
        <v>1017830.719</v>
      </c>
      <c r="P249" s="466">
        <f t="shared" si="52"/>
        <v>9090892.0460799988</v>
      </c>
    </row>
    <row r="250" spans="1:16">
      <c r="A250" s="18" t="s">
        <v>556</v>
      </c>
      <c r="B250" s="18" t="s">
        <v>587</v>
      </c>
      <c r="C250" s="18"/>
      <c r="D250" s="466">
        <v>0</v>
      </c>
      <c r="E250" s="466">
        <v>0</v>
      </c>
      <c r="F250" s="466">
        <v>0</v>
      </c>
      <c r="G250" s="466">
        <v>0</v>
      </c>
      <c r="H250" s="466">
        <v>0</v>
      </c>
      <c r="I250" s="466">
        <v>0</v>
      </c>
      <c r="J250" s="466">
        <v>0</v>
      </c>
      <c r="K250" s="466">
        <v>0</v>
      </c>
      <c r="L250" s="466">
        <v>0</v>
      </c>
      <c r="M250" s="466">
        <v>0</v>
      </c>
      <c r="N250" s="466">
        <v>0</v>
      </c>
      <c r="O250" s="466">
        <v>0</v>
      </c>
      <c r="P250" s="466">
        <f>SUM(D250:O250)</f>
        <v>0</v>
      </c>
    </row>
    <row r="251" spans="1:16">
      <c r="A251" s="18"/>
      <c r="B251" s="18" t="s">
        <v>571</v>
      </c>
      <c r="C251" s="18"/>
      <c r="D251" s="466">
        <v>1189.4659999999999</v>
      </c>
      <c r="E251" s="466">
        <v>1223.933</v>
      </c>
      <c r="F251" s="466">
        <v>1172</v>
      </c>
      <c r="G251" s="466">
        <v>1159.133</v>
      </c>
      <c r="H251" s="466">
        <v>1254.2660000000001</v>
      </c>
      <c r="I251" s="466">
        <v>288.2</v>
      </c>
      <c r="J251" s="466">
        <v>109.2</v>
      </c>
      <c r="K251" s="466">
        <v>0</v>
      </c>
      <c r="L251" s="466">
        <v>0</v>
      </c>
      <c r="M251" s="466">
        <v>0</v>
      </c>
      <c r="N251" s="466">
        <v>0</v>
      </c>
      <c r="O251" s="466">
        <v>0</v>
      </c>
      <c r="P251" s="466">
        <f>SUM(D251:O251)</f>
        <v>6396.1980000000003</v>
      </c>
    </row>
    <row r="252" spans="1:16">
      <c r="A252" s="18"/>
      <c r="B252" s="18" t="s">
        <v>577</v>
      </c>
      <c r="C252" s="18"/>
      <c r="D252" s="466">
        <v>0</v>
      </c>
      <c r="E252" s="466">
        <v>0</v>
      </c>
      <c r="F252" s="466">
        <v>0</v>
      </c>
      <c r="G252" s="466">
        <v>0</v>
      </c>
      <c r="H252" s="466">
        <v>0</v>
      </c>
      <c r="I252" s="466">
        <v>0</v>
      </c>
      <c r="J252" s="466">
        <v>0</v>
      </c>
      <c r="K252" s="466">
        <v>0</v>
      </c>
      <c r="L252" s="466">
        <v>0</v>
      </c>
      <c r="M252" s="466">
        <v>0</v>
      </c>
      <c r="N252" s="466">
        <v>0</v>
      </c>
      <c r="O252" s="466">
        <v>0</v>
      </c>
      <c r="P252" s="466">
        <f t="shared" ref="P252:P257" si="53">SUM(D252:O252)</f>
        <v>0</v>
      </c>
    </row>
    <row r="253" spans="1:16">
      <c r="A253" s="18"/>
      <c r="B253" s="18" t="s">
        <v>578</v>
      </c>
      <c r="C253" s="18"/>
      <c r="D253" s="466">
        <v>0</v>
      </c>
      <c r="E253" s="466">
        <v>0</v>
      </c>
      <c r="F253" s="466">
        <v>0</v>
      </c>
      <c r="G253" s="466">
        <v>0</v>
      </c>
      <c r="H253" s="466">
        <v>0</v>
      </c>
      <c r="I253" s="466">
        <v>0</v>
      </c>
      <c r="J253" s="466">
        <v>0</v>
      </c>
      <c r="K253" s="466">
        <v>0</v>
      </c>
      <c r="L253" s="466">
        <v>0</v>
      </c>
      <c r="M253" s="466">
        <v>0</v>
      </c>
      <c r="N253" s="466">
        <v>0</v>
      </c>
      <c r="O253" s="466">
        <v>0</v>
      </c>
      <c r="P253" s="466">
        <f t="shared" si="53"/>
        <v>0</v>
      </c>
    </row>
    <row r="254" spans="1:16">
      <c r="A254" s="18"/>
      <c r="B254" s="18" t="s">
        <v>579</v>
      </c>
      <c r="C254" s="18"/>
      <c r="D254" s="466">
        <v>0</v>
      </c>
      <c r="E254" s="466">
        <v>0</v>
      </c>
      <c r="F254" s="466">
        <v>0</v>
      </c>
      <c r="G254" s="466">
        <v>0</v>
      </c>
      <c r="H254" s="466">
        <v>0</v>
      </c>
      <c r="I254" s="466">
        <v>0</v>
      </c>
      <c r="J254" s="466">
        <v>0</v>
      </c>
      <c r="K254" s="466">
        <v>0</v>
      </c>
      <c r="L254" s="466">
        <v>0</v>
      </c>
      <c r="M254" s="466">
        <v>0</v>
      </c>
      <c r="N254" s="466">
        <v>0</v>
      </c>
      <c r="O254" s="466">
        <v>0</v>
      </c>
      <c r="P254" s="466">
        <f t="shared" si="53"/>
        <v>0</v>
      </c>
    </row>
    <row r="255" spans="1:16">
      <c r="A255" s="18"/>
      <c r="B255" s="18" t="s">
        <v>580</v>
      </c>
      <c r="C255" s="18"/>
      <c r="D255" s="466">
        <v>0</v>
      </c>
      <c r="E255" s="466">
        <v>0</v>
      </c>
      <c r="F255" s="466">
        <v>0</v>
      </c>
      <c r="G255" s="466">
        <v>0</v>
      </c>
      <c r="H255" s="466">
        <v>0</v>
      </c>
      <c r="I255" s="466">
        <v>0</v>
      </c>
      <c r="J255" s="466">
        <v>0</v>
      </c>
      <c r="K255" s="466">
        <v>0</v>
      </c>
      <c r="L255" s="466">
        <v>0</v>
      </c>
      <c r="M255" s="466">
        <v>0</v>
      </c>
      <c r="N255" s="466">
        <v>0</v>
      </c>
      <c r="O255" s="466">
        <v>0</v>
      </c>
      <c r="P255" s="466">
        <f t="shared" si="53"/>
        <v>0</v>
      </c>
    </row>
    <row r="256" spans="1:16">
      <c r="A256" s="18"/>
      <c r="B256" s="18" t="s">
        <v>581</v>
      </c>
      <c r="C256" s="18"/>
      <c r="D256" s="466">
        <v>0</v>
      </c>
      <c r="E256" s="466">
        <v>0</v>
      </c>
      <c r="F256" s="466">
        <v>0</v>
      </c>
      <c r="G256" s="466">
        <v>0</v>
      </c>
      <c r="H256" s="466">
        <v>0</v>
      </c>
      <c r="I256" s="466">
        <v>0</v>
      </c>
      <c r="J256" s="466">
        <v>0</v>
      </c>
      <c r="K256" s="466">
        <v>0</v>
      </c>
      <c r="L256" s="466">
        <v>0</v>
      </c>
      <c r="M256" s="466">
        <v>0</v>
      </c>
      <c r="N256" s="466">
        <v>0</v>
      </c>
      <c r="O256" s="466">
        <v>0</v>
      </c>
      <c r="P256" s="466">
        <f t="shared" si="53"/>
        <v>0</v>
      </c>
    </row>
    <row r="257" spans="1:16">
      <c r="A257" s="18"/>
      <c r="B257" s="18" t="s">
        <v>650</v>
      </c>
      <c r="C257" s="18"/>
      <c r="D257" s="466"/>
      <c r="E257" s="466"/>
      <c r="F257" s="466"/>
      <c r="G257" s="466"/>
      <c r="H257" s="466">
        <v>0</v>
      </c>
      <c r="I257" s="466">
        <v>0</v>
      </c>
      <c r="J257" s="466">
        <v>0</v>
      </c>
      <c r="K257" s="466">
        <v>0</v>
      </c>
      <c r="L257" s="466">
        <v>0</v>
      </c>
      <c r="M257" s="466">
        <v>0</v>
      </c>
      <c r="N257" s="466">
        <v>0</v>
      </c>
      <c r="O257" s="466">
        <v>0</v>
      </c>
      <c r="P257" s="466">
        <f t="shared" si="53"/>
        <v>0</v>
      </c>
    </row>
    <row r="258" spans="1:16">
      <c r="A258" s="18"/>
      <c r="B258" s="18" t="s">
        <v>64</v>
      </c>
      <c r="C258" s="18"/>
      <c r="D258" s="466">
        <f>SUM(D250:D257)</f>
        <v>1189.4659999999999</v>
      </c>
      <c r="E258" s="466">
        <f t="shared" ref="E258:O258" si="54">SUM(E250:E257)</f>
        <v>1223.933</v>
      </c>
      <c r="F258" s="466">
        <f t="shared" si="54"/>
        <v>1172</v>
      </c>
      <c r="G258" s="466">
        <f t="shared" si="54"/>
        <v>1159.133</v>
      </c>
      <c r="H258" s="466">
        <f t="shared" si="54"/>
        <v>1254.2660000000001</v>
      </c>
      <c r="I258" s="466">
        <f t="shared" si="54"/>
        <v>288.2</v>
      </c>
      <c r="J258" s="466">
        <f t="shared" si="54"/>
        <v>109.2</v>
      </c>
      <c r="K258" s="466">
        <f t="shared" si="54"/>
        <v>0</v>
      </c>
      <c r="L258" s="466">
        <f t="shared" si="54"/>
        <v>0</v>
      </c>
      <c r="M258" s="466">
        <f t="shared" si="54"/>
        <v>0</v>
      </c>
      <c r="N258" s="466">
        <f t="shared" si="54"/>
        <v>0</v>
      </c>
      <c r="O258" s="466">
        <f t="shared" si="54"/>
        <v>0</v>
      </c>
      <c r="P258" s="466">
        <f>SUM(P250:P257)</f>
        <v>6396.1980000000003</v>
      </c>
    </row>
    <row r="259" spans="1:16">
      <c r="A259" s="18" t="s">
        <v>557</v>
      </c>
      <c r="B259" s="18" t="s">
        <v>587</v>
      </c>
      <c r="C259" s="18"/>
      <c r="D259" s="466">
        <v>0</v>
      </c>
      <c r="E259" s="466">
        <v>0</v>
      </c>
      <c r="F259" s="466">
        <v>0</v>
      </c>
      <c r="G259" s="466">
        <v>0</v>
      </c>
      <c r="H259" s="466">
        <v>0</v>
      </c>
      <c r="I259" s="466">
        <v>0</v>
      </c>
      <c r="J259" s="466">
        <v>0</v>
      </c>
      <c r="K259" s="466">
        <v>0</v>
      </c>
      <c r="L259" s="466">
        <v>0</v>
      </c>
      <c r="M259" s="466">
        <v>0</v>
      </c>
      <c r="N259" s="466">
        <v>0</v>
      </c>
      <c r="O259" s="466">
        <v>0</v>
      </c>
      <c r="P259" s="466">
        <f>SUM(D259:O259)</f>
        <v>0</v>
      </c>
    </row>
    <row r="260" spans="1:16">
      <c r="A260" s="18"/>
      <c r="B260" s="18" t="s">
        <v>571</v>
      </c>
      <c r="C260" s="18"/>
      <c r="D260" s="466">
        <v>353725.73187000002</v>
      </c>
      <c r="E260" s="466">
        <v>761133.37100000004</v>
      </c>
      <c r="F260" s="466">
        <v>731214.17099999997</v>
      </c>
      <c r="G260" s="466">
        <v>722320.04099999997</v>
      </c>
      <c r="H260" s="466">
        <v>747928.40300000005</v>
      </c>
      <c r="I260" s="466">
        <v>746627.14599999995</v>
      </c>
      <c r="J260" s="466">
        <v>778306.34100000001</v>
      </c>
      <c r="K260" s="466">
        <v>565437.23499999999</v>
      </c>
      <c r="L260" s="466">
        <v>850499.63600000006</v>
      </c>
      <c r="M260" s="466">
        <v>653338.28899999999</v>
      </c>
      <c r="N260" s="466">
        <v>780461.68400000001</v>
      </c>
      <c r="O260" s="466">
        <v>721390.36899999995</v>
      </c>
      <c r="P260" s="466">
        <f t="shared" ref="P260:P266" si="55">SUM(D260:O260)</f>
        <v>8412382.41787</v>
      </c>
    </row>
    <row r="261" spans="1:16">
      <c r="A261" s="18"/>
      <c r="B261" s="18" t="s">
        <v>577</v>
      </c>
      <c r="C261" s="18"/>
      <c r="D261" s="466">
        <v>0</v>
      </c>
      <c r="E261" s="466">
        <v>0</v>
      </c>
      <c r="F261" s="466">
        <v>0</v>
      </c>
      <c r="G261" s="466">
        <v>0</v>
      </c>
      <c r="H261" s="466">
        <v>0</v>
      </c>
      <c r="I261" s="466">
        <v>0</v>
      </c>
      <c r="J261" s="466">
        <v>0</v>
      </c>
      <c r="K261" s="466">
        <v>0</v>
      </c>
      <c r="L261" s="466">
        <v>0</v>
      </c>
      <c r="M261" s="466">
        <v>0</v>
      </c>
      <c r="N261" s="466">
        <v>0</v>
      </c>
      <c r="O261" s="466">
        <v>0</v>
      </c>
      <c r="P261" s="466">
        <f t="shared" si="55"/>
        <v>0</v>
      </c>
    </row>
    <row r="262" spans="1:16">
      <c r="A262" s="18"/>
      <c r="B262" s="18" t="s">
        <v>578</v>
      </c>
      <c r="C262" s="18"/>
      <c r="D262" s="466">
        <v>0</v>
      </c>
      <c r="E262" s="466">
        <v>0</v>
      </c>
      <c r="F262" s="466">
        <v>0</v>
      </c>
      <c r="G262" s="466">
        <v>0</v>
      </c>
      <c r="H262" s="466">
        <v>0</v>
      </c>
      <c r="I262" s="466">
        <v>0</v>
      </c>
      <c r="J262" s="466">
        <v>0</v>
      </c>
      <c r="K262" s="466">
        <v>0</v>
      </c>
      <c r="L262" s="466">
        <v>0</v>
      </c>
      <c r="M262" s="466">
        <v>0</v>
      </c>
      <c r="N262" s="466">
        <v>0</v>
      </c>
      <c r="O262" s="466">
        <v>0</v>
      </c>
      <c r="P262" s="466">
        <f t="shared" si="55"/>
        <v>0</v>
      </c>
    </row>
    <row r="263" spans="1:16">
      <c r="A263" s="18"/>
      <c r="B263" s="18" t="s">
        <v>579</v>
      </c>
      <c r="C263" s="18"/>
      <c r="D263" s="466">
        <v>0</v>
      </c>
      <c r="E263" s="466">
        <v>0</v>
      </c>
      <c r="F263" s="466">
        <v>0</v>
      </c>
      <c r="G263" s="466">
        <v>0</v>
      </c>
      <c r="H263" s="466">
        <v>0</v>
      </c>
      <c r="I263" s="466">
        <v>0</v>
      </c>
      <c r="J263" s="466">
        <v>0</v>
      </c>
      <c r="K263" s="466">
        <v>0</v>
      </c>
      <c r="L263" s="466">
        <v>0</v>
      </c>
      <c r="M263" s="466">
        <v>0</v>
      </c>
      <c r="N263" s="466">
        <v>0</v>
      </c>
      <c r="O263" s="466">
        <v>0</v>
      </c>
      <c r="P263" s="466">
        <f t="shared" si="55"/>
        <v>0</v>
      </c>
    </row>
    <row r="264" spans="1:16">
      <c r="A264" s="18"/>
      <c r="B264" s="18" t="s">
        <v>580</v>
      </c>
      <c r="C264" s="18"/>
      <c r="D264" s="466">
        <v>0</v>
      </c>
      <c r="E264" s="466">
        <v>0</v>
      </c>
      <c r="F264" s="466">
        <v>0</v>
      </c>
      <c r="G264" s="466">
        <v>0</v>
      </c>
      <c r="H264" s="466">
        <v>0</v>
      </c>
      <c r="I264" s="466">
        <v>0</v>
      </c>
      <c r="J264" s="466">
        <v>0</v>
      </c>
      <c r="K264" s="466">
        <v>0</v>
      </c>
      <c r="L264" s="466">
        <v>0</v>
      </c>
      <c r="M264" s="466">
        <v>0</v>
      </c>
      <c r="N264" s="466">
        <v>0</v>
      </c>
      <c r="O264" s="466">
        <v>0</v>
      </c>
      <c r="P264" s="466">
        <f t="shared" si="55"/>
        <v>0</v>
      </c>
    </row>
    <row r="265" spans="1:16">
      <c r="A265" s="18"/>
      <c r="B265" s="18" t="s">
        <v>581</v>
      </c>
      <c r="C265" s="18"/>
      <c r="D265" s="466">
        <v>0</v>
      </c>
      <c r="E265" s="466">
        <v>0</v>
      </c>
      <c r="F265" s="466">
        <v>0</v>
      </c>
      <c r="G265" s="466">
        <v>0</v>
      </c>
      <c r="H265" s="466">
        <v>0</v>
      </c>
      <c r="I265" s="466">
        <v>0</v>
      </c>
      <c r="J265" s="466">
        <v>0</v>
      </c>
      <c r="K265" s="466">
        <v>0</v>
      </c>
      <c r="L265" s="466">
        <v>0</v>
      </c>
      <c r="M265" s="466">
        <v>0</v>
      </c>
      <c r="N265" s="466">
        <v>0</v>
      </c>
      <c r="O265" s="466">
        <v>0</v>
      </c>
      <c r="P265" s="466">
        <f t="shared" si="55"/>
        <v>0</v>
      </c>
    </row>
    <row r="266" spans="1:16">
      <c r="A266" s="18"/>
      <c r="B266" s="18" t="s">
        <v>650</v>
      </c>
      <c r="C266" s="18"/>
      <c r="D266" s="466"/>
      <c r="E266" s="466"/>
      <c r="F266" s="466"/>
      <c r="G266" s="466"/>
      <c r="H266" s="466">
        <v>0</v>
      </c>
      <c r="I266" s="466">
        <v>0</v>
      </c>
      <c r="J266" s="466">
        <v>0</v>
      </c>
      <c r="K266" s="466">
        <v>0</v>
      </c>
      <c r="L266" s="466">
        <v>0</v>
      </c>
      <c r="M266" s="466">
        <v>0</v>
      </c>
      <c r="N266" s="466">
        <v>0</v>
      </c>
      <c r="O266" s="466">
        <v>0</v>
      </c>
      <c r="P266" s="466">
        <f t="shared" si="55"/>
        <v>0</v>
      </c>
    </row>
    <row r="267" spans="1:16">
      <c r="A267" s="18"/>
      <c r="B267" s="18" t="s">
        <v>64</v>
      </c>
      <c r="C267" s="18"/>
      <c r="D267" s="466">
        <f>SUM(D259:D266)</f>
        <v>353725.73187000002</v>
      </c>
      <c r="E267" s="466">
        <f t="shared" ref="E267:P267" si="56">SUM(E259:E266)</f>
        <v>761133.37100000004</v>
      </c>
      <c r="F267" s="466">
        <f t="shared" si="56"/>
        <v>731214.17099999997</v>
      </c>
      <c r="G267" s="466">
        <f t="shared" si="56"/>
        <v>722320.04099999997</v>
      </c>
      <c r="H267" s="466">
        <f t="shared" si="56"/>
        <v>747928.40300000005</v>
      </c>
      <c r="I267" s="466">
        <f t="shared" si="56"/>
        <v>746627.14599999995</v>
      </c>
      <c r="J267" s="466">
        <f t="shared" si="56"/>
        <v>778306.34100000001</v>
      </c>
      <c r="K267" s="466">
        <f t="shared" si="56"/>
        <v>565437.23499999999</v>
      </c>
      <c r="L267" s="466">
        <f t="shared" si="56"/>
        <v>850499.63600000006</v>
      </c>
      <c r="M267" s="466">
        <f t="shared" si="56"/>
        <v>653338.28899999999</v>
      </c>
      <c r="N267" s="466">
        <f t="shared" si="56"/>
        <v>780461.68400000001</v>
      </c>
      <c r="O267" s="466">
        <f t="shared" si="56"/>
        <v>721390.36899999995</v>
      </c>
      <c r="P267" s="466">
        <f t="shared" si="56"/>
        <v>8412382.41787</v>
      </c>
    </row>
    <row r="268" spans="1:16">
      <c r="A268" s="18" t="s">
        <v>558</v>
      </c>
      <c r="B268" s="18" t="s">
        <v>587</v>
      </c>
      <c r="C268" s="18"/>
      <c r="D268" s="466">
        <v>0</v>
      </c>
      <c r="E268" s="466">
        <v>0</v>
      </c>
      <c r="F268" s="466">
        <v>0</v>
      </c>
      <c r="G268" s="466">
        <v>0</v>
      </c>
      <c r="H268" s="466">
        <v>0</v>
      </c>
      <c r="I268" s="466">
        <v>0</v>
      </c>
      <c r="J268" s="466">
        <v>0</v>
      </c>
      <c r="K268" s="466">
        <v>0</v>
      </c>
      <c r="L268" s="466">
        <v>0</v>
      </c>
      <c r="M268" s="466">
        <v>0</v>
      </c>
      <c r="N268" s="466">
        <v>0</v>
      </c>
      <c r="O268" s="466">
        <v>0</v>
      </c>
      <c r="P268" s="466">
        <f>SUM(D268:O268)</f>
        <v>0</v>
      </c>
    </row>
    <row r="269" spans="1:16">
      <c r="A269" s="18"/>
      <c r="B269" s="18" t="s">
        <v>571</v>
      </c>
      <c r="C269" s="18"/>
      <c r="D269" s="466">
        <v>12507.498</v>
      </c>
      <c r="E269" s="466">
        <v>12370.031000000001</v>
      </c>
      <c r="F269" s="466">
        <v>12083.999</v>
      </c>
      <c r="G269" s="466">
        <v>12261.398999999999</v>
      </c>
      <c r="H269" s="466">
        <v>12270.465</v>
      </c>
      <c r="I269" s="466">
        <v>12468.833000000001</v>
      </c>
      <c r="J269" s="466">
        <v>14213.466</v>
      </c>
      <c r="K269" s="466">
        <v>7145.9319999999998</v>
      </c>
      <c r="L269" s="466">
        <v>15932.499</v>
      </c>
      <c r="M269" s="466">
        <v>10939.365</v>
      </c>
      <c r="N269" s="466">
        <v>12694.397999999999</v>
      </c>
      <c r="O269" s="466">
        <v>11950.031999999999</v>
      </c>
      <c r="P269" s="466">
        <f>SUM(D269:O269)</f>
        <v>146837.91700000002</v>
      </c>
    </row>
    <row r="270" spans="1:16">
      <c r="A270" s="18"/>
      <c r="B270" s="18" t="s">
        <v>577</v>
      </c>
      <c r="C270" s="18"/>
      <c r="D270" s="466">
        <v>0</v>
      </c>
      <c r="E270" s="466">
        <v>0</v>
      </c>
      <c r="F270" s="466">
        <v>0</v>
      </c>
      <c r="G270" s="466">
        <v>0</v>
      </c>
      <c r="H270" s="466">
        <v>0</v>
      </c>
      <c r="I270" s="466">
        <v>0</v>
      </c>
      <c r="J270" s="466">
        <v>0</v>
      </c>
      <c r="K270" s="466">
        <v>0</v>
      </c>
      <c r="L270" s="466">
        <v>0</v>
      </c>
      <c r="M270" s="466">
        <v>0</v>
      </c>
      <c r="N270" s="466">
        <v>0</v>
      </c>
      <c r="O270" s="466">
        <v>0</v>
      </c>
      <c r="P270" s="466">
        <f t="shared" ref="P270:P275" si="57">SUM(D270:O270)</f>
        <v>0</v>
      </c>
    </row>
    <row r="271" spans="1:16">
      <c r="A271" s="18"/>
      <c r="B271" s="18" t="s">
        <v>578</v>
      </c>
      <c r="C271" s="18"/>
      <c r="D271" s="466">
        <v>0</v>
      </c>
      <c r="E271" s="466">
        <v>0</v>
      </c>
      <c r="F271" s="466">
        <v>0</v>
      </c>
      <c r="G271" s="466">
        <v>0</v>
      </c>
      <c r="H271" s="466">
        <v>0</v>
      </c>
      <c r="I271" s="466">
        <v>0</v>
      </c>
      <c r="J271" s="466">
        <v>0</v>
      </c>
      <c r="K271" s="466">
        <v>0</v>
      </c>
      <c r="L271" s="466">
        <v>0</v>
      </c>
      <c r="M271" s="466">
        <v>0</v>
      </c>
      <c r="N271" s="466">
        <v>0</v>
      </c>
      <c r="O271" s="466">
        <v>0</v>
      </c>
      <c r="P271" s="466">
        <f t="shared" si="57"/>
        <v>0</v>
      </c>
    </row>
    <row r="272" spans="1:16">
      <c r="A272" s="18"/>
      <c r="B272" s="18" t="s">
        <v>579</v>
      </c>
      <c r="C272" s="18"/>
      <c r="D272" s="466">
        <v>0</v>
      </c>
      <c r="E272" s="466">
        <v>0</v>
      </c>
      <c r="F272" s="466">
        <v>0</v>
      </c>
      <c r="G272" s="466">
        <v>0</v>
      </c>
      <c r="H272" s="466">
        <v>0</v>
      </c>
      <c r="I272" s="466">
        <v>0</v>
      </c>
      <c r="J272" s="466">
        <v>0</v>
      </c>
      <c r="K272" s="466">
        <v>0</v>
      </c>
      <c r="L272" s="466">
        <v>0</v>
      </c>
      <c r="M272" s="466">
        <v>0</v>
      </c>
      <c r="N272" s="466">
        <v>0</v>
      </c>
      <c r="O272" s="466">
        <v>0</v>
      </c>
      <c r="P272" s="466">
        <f t="shared" si="57"/>
        <v>0</v>
      </c>
    </row>
    <row r="273" spans="1:16">
      <c r="A273" s="18"/>
      <c r="B273" s="18" t="s">
        <v>580</v>
      </c>
      <c r="C273" s="18"/>
      <c r="D273" s="466">
        <v>0</v>
      </c>
      <c r="E273" s="466">
        <v>0</v>
      </c>
      <c r="F273" s="466">
        <v>0</v>
      </c>
      <c r="G273" s="466">
        <v>0</v>
      </c>
      <c r="H273" s="466">
        <v>0</v>
      </c>
      <c r="I273" s="466">
        <v>0</v>
      </c>
      <c r="J273" s="466">
        <v>0</v>
      </c>
      <c r="K273" s="466">
        <v>0</v>
      </c>
      <c r="L273" s="466">
        <v>0</v>
      </c>
      <c r="M273" s="466">
        <v>0</v>
      </c>
      <c r="N273" s="466">
        <v>0</v>
      </c>
      <c r="O273" s="466">
        <v>0</v>
      </c>
      <c r="P273" s="466">
        <f t="shared" si="57"/>
        <v>0</v>
      </c>
    </row>
    <row r="274" spans="1:16">
      <c r="A274" s="18"/>
      <c r="B274" s="18" t="s">
        <v>581</v>
      </c>
      <c r="C274" s="18"/>
      <c r="D274" s="466">
        <v>0</v>
      </c>
      <c r="E274" s="466">
        <v>0</v>
      </c>
      <c r="F274" s="466">
        <v>0</v>
      </c>
      <c r="G274" s="466">
        <v>0</v>
      </c>
      <c r="H274" s="466">
        <v>0</v>
      </c>
      <c r="I274" s="466">
        <v>0</v>
      </c>
      <c r="J274" s="466">
        <v>0</v>
      </c>
      <c r="K274" s="466">
        <v>0</v>
      </c>
      <c r="L274" s="466">
        <v>0</v>
      </c>
      <c r="M274" s="466">
        <v>0</v>
      </c>
      <c r="N274" s="466">
        <v>0</v>
      </c>
      <c r="O274" s="466">
        <v>0</v>
      </c>
      <c r="P274" s="466">
        <f t="shared" si="57"/>
        <v>0</v>
      </c>
    </row>
    <row r="275" spans="1:16">
      <c r="A275" s="18"/>
      <c r="B275" s="18" t="s">
        <v>650</v>
      </c>
      <c r="C275" s="18"/>
      <c r="D275" s="466"/>
      <c r="E275" s="466"/>
      <c r="F275" s="466"/>
      <c r="G275" s="466"/>
      <c r="H275" s="466">
        <v>0</v>
      </c>
      <c r="I275" s="466">
        <v>0</v>
      </c>
      <c r="J275" s="466">
        <v>0</v>
      </c>
      <c r="K275" s="466">
        <v>0</v>
      </c>
      <c r="L275" s="466">
        <v>0</v>
      </c>
      <c r="M275" s="466">
        <v>0</v>
      </c>
      <c r="N275" s="466">
        <v>0</v>
      </c>
      <c r="O275" s="466">
        <v>0</v>
      </c>
      <c r="P275" s="466">
        <f t="shared" si="57"/>
        <v>0</v>
      </c>
    </row>
    <row r="276" spans="1:16">
      <c r="A276" s="18"/>
      <c r="B276" s="18" t="s">
        <v>64</v>
      </c>
      <c r="C276" s="18"/>
      <c r="D276" s="466">
        <f>SUM(D268:D275)</f>
        <v>12507.498</v>
      </c>
      <c r="E276" s="466">
        <f t="shared" ref="E276:P276" si="58">SUM(E268:E275)</f>
        <v>12370.031000000001</v>
      </c>
      <c r="F276" s="466">
        <f t="shared" si="58"/>
        <v>12083.999</v>
      </c>
      <c r="G276" s="466">
        <f t="shared" si="58"/>
        <v>12261.398999999999</v>
      </c>
      <c r="H276" s="466">
        <f t="shared" si="58"/>
        <v>12270.465</v>
      </c>
      <c r="I276" s="466">
        <f t="shared" si="58"/>
        <v>12468.833000000001</v>
      </c>
      <c r="J276" s="466">
        <f t="shared" si="58"/>
        <v>14213.466</v>
      </c>
      <c r="K276" s="466">
        <f t="shared" si="58"/>
        <v>7145.9319999999998</v>
      </c>
      <c r="L276" s="466">
        <f t="shared" si="58"/>
        <v>15932.499</v>
      </c>
      <c r="M276" s="466">
        <f t="shared" si="58"/>
        <v>10939.365</v>
      </c>
      <c r="N276" s="466">
        <f t="shared" si="58"/>
        <v>12694.397999999999</v>
      </c>
      <c r="O276" s="466">
        <f t="shared" si="58"/>
        <v>11950.031999999999</v>
      </c>
      <c r="P276" s="466">
        <f t="shared" si="58"/>
        <v>146837.91700000002</v>
      </c>
    </row>
    <row r="277" spans="1:16">
      <c r="A277" s="18" t="s">
        <v>559</v>
      </c>
      <c r="B277" s="18" t="s">
        <v>587</v>
      </c>
      <c r="C277" s="18"/>
      <c r="D277" s="466">
        <v>0</v>
      </c>
      <c r="E277" s="466">
        <v>0</v>
      </c>
      <c r="F277" s="466">
        <v>0</v>
      </c>
      <c r="G277" s="466">
        <v>0</v>
      </c>
      <c r="H277" s="466">
        <v>0</v>
      </c>
      <c r="I277" s="466">
        <v>0</v>
      </c>
      <c r="J277" s="466">
        <v>0</v>
      </c>
      <c r="K277" s="466">
        <v>0</v>
      </c>
      <c r="L277" s="466">
        <v>0</v>
      </c>
      <c r="M277" s="466">
        <v>0</v>
      </c>
      <c r="N277" s="466">
        <v>0</v>
      </c>
      <c r="O277" s="466">
        <v>0</v>
      </c>
      <c r="P277" s="466">
        <f>SUM(D277:O277)</f>
        <v>0</v>
      </c>
    </row>
    <row r="278" spans="1:16">
      <c r="A278" s="18"/>
      <c r="B278" s="18" t="s">
        <v>571</v>
      </c>
      <c r="C278" s="18"/>
      <c r="D278" s="466">
        <v>36521.133999999998</v>
      </c>
      <c r="E278" s="466">
        <v>33297.167000000001</v>
      </c>
      <c r="F278" s="466">
        <v>34403.334000000003</v>
      </c>
      <c r="G278" s="466">
        <v>36400.101000000002</v>
      </c>
      <c r="H278" s="466">
        <v>33179.400999999998</v>
      </c>
      <c r="I278" s="466">
        <v>37237.201000000001</v>
      </c>
      <c r="J278" s="466">
        <v>35436.834000000003</v>
      </c>
      <c r="K278" s="466">
        <v>35741.366999999998</v>
      </c>
      <c r="L278" s="466">
        <v>32497.934000000001</v>
      </c>
      <c r="M278" s="466">
        <v>32332.600999999999</v>
      </c>
      <c r="N278" s="466">
        <v>32404.001</v>
      </c>
      <c r="O278" s="466">
        <v>35418.733999999997</v>
      </c>
      <c r="P278" s="466">
        <f>SUM(D278:O278)</f>
        <v>414869.80900000001</v>
      </c>
    </row>
    <row r="279" spans="1:16">
      <c r="A279" s="18"/>
      <c r="B279" s="18" t="s">
        <v>577</v>
      </c>
      <c r="C279" s="18"/>
      <c r="D279" s="466">
        <v>0</v>
      </c>
      <c r="E279" s="466">
        <v>0</v>
      </c>
      <c r="F279" s="466">
        <v>0</v>
      </c>
      <c r="G279" s="466">
        <v>0</v>
      </c>
      <c r="H279" s="466">
        <v>0</v>
      </c>
      <c r="I279" s="466">
        <v>0</v>
      </c>
      <c r="J279" s="466">
        <v>0</v>
      </c>
      <c r="K279" s="466">
        <v>0</v>
      </c>
      <c r="L279" s="466">
        <v>0</v>
      </c>
      <c r="M279" s="466">
        <v>0</v>
      </c>
      <c r="N279" s="466">
        <v>0</v>
      </c>
      <c r="O279" s="466">
        <v>0</v>
      </c>
      <c r="P279" s="466">
        <f t="shared" ref="P279:P284" si="59">SUM(D279:O279)</f>
        <v>0</v>
      </c>
    </row>
    <row r="280" spans="1:16">
      <c r="A280" s="18"/>
      <c r="B280" s="18" t="s">
        <v>578</v>
      </c>
      <c r="C280" s="18"/>
      <c r="D280" s="466">
        <v>0</v>
      </c>
      <c r="E280" s="466">
        <v>0</v>
      </c>
      <c r="F280" s="466">
        <v>0</v>
      </c>
      <c r="G280" s="466">
        <v>0</v>
      </c>
      <c r="H280" s="466">
        <v>0</v>
      </c>
      <c r="I280" s="466">
        <v>0</v>
      </c>
      <c r="J280" s="466">
        <v>0</v>
      </c>
      <c r="K280" s="466">
        <v>0</v>
      </c>
      <c r="L280" s="466">
        <v>0</v>
      </c>
      <c r="M280" s="466">
        <v>0</v>
      </c>
      <c r="N280" s="466">
        <v>0</v>
      </c>
      <c r="O280" s="466">
        <v>0</v>
      </c>
      <c r="P280" s="466">
        <f t="shared" si="59"/>
        <v>0</v>
      </c>
    </row>
    <row r="281" spans="1:16">
      <c r="A281" s="18"/>
      <c r="B281" s="18" t="s">
        <v>579</v>
      </c>
      <c r="C281" s="18"/>
      <c r="D281" s="466">
        <v>0</v>
      </c>
      <c r="E281" s="466">
        <v>0</v>
      </c>
      <c r="F281" s="466">
        <v>0</v>
      </c>
      <c r="G281" s="466">
        <v>0</v>
      </c>
      <c r="H281" s="466">
        <v>0</v>
      </c>
      <c r="I281" s="466">
        <v>0</v>
      </c>
      <c r="J281" s="466">
        <v>0</v>
      </c>
      <c r="K281" s="466">
        <v>0</v>
      </c>
      <c r="L281" s="466">
        <v>0</v>
      </c>
      <c r="M281" s="466">
        <v>0</v>
      </c>
      <c r="N281" s="466">
        <v>0</v>
      </c>
      <c r="O281" s="466">
        <v>0</v>
      </c>
      <c r="P281" s="466">
        <f t="shared" si="59"/>
        <v>0</v>
      </c>
    </row>
    <row r="282" spans="1:16">
      <c r="A282" s="18"/>
      <c r="B282" s="18" t="s">
        <v>580</v>
      </c>
      <c r="C282" s="18"/>
      <c r="D282" s="466">
        <v>0</v>
      </c>
      <c r="E282" s="466">
        <v>0</v>
      </c>
      <c r="F282" s="466">
        <v>0</v>
      </c>
      <c r="G282" s="466">
        <v>0</v>
      </c>
      <c r="H282" s="466">
        <v>0</v>
      </c>
      <c r="I282" s="466">
        <v>0</v>
      </c>
      <c r="J282" s="466">
        <v>0</v>
      </c>
      <c r="K282" s="466">
        <v>0</v>
      </c>
      <c r="L282" s="466">
        <v>0</v>
      </c>
      <c r="M282" s="466">
        <v>0</v>
      </c>
      <c r="N282" s="466">
        <v>0</v>
      </c>
      <c r="O282" s="466">
        <v>0</v>
      </c>
      <c r="P282" s="466">
        <f t="shared" si="59"/>
        <v>0</v>
      </c>
    </row>
    <row r="283" spans="1:16">
      <c r="A283" s="18"/>
      <c r="B283" s="18" t="s">
        <v>581</v>
      </c>
      <c r="C283" s="18"/>
      <c r="D283" s="466">
        <v>0</v>
      </c>
      <c r="E283" s="466">
        <v>0</v>
      </c>
      <c r="F283" s="466">
        <v>0</v>
      </c>
      <c r="G283" s="466">
        <v>0</v>
      </c>
      <c r="H283" s="466">
        <v>0</v>
      </c>
      <c r="I283" s="466">
        <v>0</v>
      </c>
      <c r="J283" s="466">
        <v>0</v>
      </c>
      <c r="K283" s="466">
        <v>0</v>
      </c>
      <c r="L283" s="466">
        <v>0</v>
      </c>
      <c r="M283" s="466">
        <v>0</v>
      </c>
      <c r="N283" s="466">
        <v>0</v>
      </c>
      <c r="O283" s="466">
        <v>0</v>
      </c>
      <c r="P283" s="466">
        <f t="shared" si="59"/>
        <v>0</v>
      </c>
    </row>
    <row r="284" spans="1:16">
      <c r="A284" s="18"/>
      <c r="B284" s="18" t="s">
        <v>650</v>
      </c>
      <c r="C284" s="18"/>
      <c r="D284" s="466"/>
      <c r="E284" s="466"/>
      <c r="F284" s="466"/>
      <c r="G284" s="466"/>
      <c r="H284" s="466">
        <v>0</v>
      </c>
      <c r="I284" s="466">
        <v>0</v>
      </c>
      <c r="J284" s="466">
        <v>0</v>
      </c>
      <c r="K284" s="466">
        <v>0</v>
      </c>
      <c r="L284" s="466">
        <v>0</v>
      </c>
      <c r="M284" s="466">
        <v>0</v>
      </c>
      <c r="N284" s="466">
        <v>0</v>
      </c>
      <c r="O284" s="466">
        <v>0</v>
      </c>
      <c r="P284" s="466">
        <f t="shared" si="59"/>
        <v>0</v>
      </c>
    </row>
    <row r="285" spans="1:16">
      <c r="A285" s="18"/>
      <c r="B285" s="18" t="s">
        <v>64</v>
      </c>
      <c r="C285" s="18"/>
      <c r="D285" s="466">
        <f>SUM(D277:D284)</f>
        <v>36521.133999999998</v>
      </c>
      <c r="E285" s="466">
        <f t="shared" ref="E285:O285" si="60">SUM(E277:E284)</f>
        <v>33297.167000000001</v>
      </c>
      <c r="F285" s="466">
        <f t="shared" si="60"/>
        <v>34403.334000000003</v>
      </c>
      <c r="G285" s="466">
        <f t="shared" si="60"/>
        <v>36400.101000000002</v>
      </c>
      <c r="H285" s="466">
        <f t="shared" si="60"/>
        <v>33179.400999999998</v>
      </c>
      <c r="I285" s="466">
        <f t="shared" si="60"/>
        <v>37237.201000000001</v>
      </c>
      <c r="J285" s="466">
        <f t="shared" si="60"/>
        <v>35436.834000000003</v>
      </c>
      <c r="K285" s="466">
        <f t="shared" si="60"/>
        <v>35741.366999999998</v>
      </c>
      <c r="L285" s="466">
        <f t="shared" si="60"/>
        <v>32497.934000000001</v>
      </c>
      <c r="M285" s="466">
        <f t="shared" si="60"/>
        <v>32332.600999999999</v>
      </c>
      <c r="N285" s="466">
        <f t="shared" si="60"/>
        <v>32404.001</v>
      </c>
      <c r="O285" s="466">
        <f t="shared" si="60"/>
        <v>35418.733999999997</v>
      </c>
      <c r="P285" s="466">
        <f>SUM(P277:P284)</f>
        <v>414869.80900000001</v>
      </c>
    </row>
    <row r="286" spans="1:16">
      <c r="A286" s="18" t="s">
        <v>560</v>
      </c>
      <c r="B286" s="18" t="s">
        <v>587</v>
      </c>
      <c r="C286" s="18"/>
      <c r="D286" s="466">
        <v>0</v>
      </c>
      <c r="E286" s="466">
        <v>0</v>
      </c>
      <c r="F286" s="466">
        <v>0</v>
      </c>
      <c r="G286" s="466">
        <v>0</v>
      </c>
      <c r="H286" s="466">
        <v>0</v>
      </c>
      <c r="I286" s="466">
        <v>0</v>
      </c>
      <c r="J286" s="466">
        <v>0</v>
      </c>
      <c r="K286" s="466">
        <v>0</v>
      </c>
      <c r="L286" s="466">
        <v>0</v>
      </c>
      <c r="M286" s="466">
        <v>0</v>
      </c>
      <c r="N286" s="466">
        <v>0</v>
      </c>
      <c r="O286" s="466">
        <v>0</v>
      </c>
      <c r="P286" s="466">
        <f>SUM(D286:O286)</f>
        <v>0</v>
      </c>
    </row>
    <row r="287" spans="1:16">
      <c r="A287" s="18"/>
      <c r="B287" s="18" t="s">
        <v>571</v>
      </c>
      <c r="C287" s="18"/>
      <c r="D287" s="466">
        <v>67164.77</v>
      </c>
      <c r="E287" s="466">
        <v>67566.168999999994</v>
      </c>
      <c r="F287" s="466">
        <v>66156.634000000005</v>
      </c>
      <c r="G287" s="466">
        <v>66410.5</v>
      </c>
      <c r="H287" s="466">
        <v>65021.133000000002</v>
      </c>
      <c r="I287" s="466">
        <v>70605.3</v>
      </c>
      <c r="J287" s="466">
        <v>70515.566999999995</v>
      </c>
      <c r="K287" s="466">
        <v>60385.432999999997</v>
      </c>
      <c r="L287" s="466">
        <v>68837.534</v>
      </c>
      <c r="M287" s="466">
        <v>60483.665000000001</v>
      </c>
      <c r="N287" s="466">
        <v>69459.769</v>
      </c>
      <c r="O287" s="466">
        <v>67090.900999999998</v>
      </c>
      <c r="P287" s="466">
        <f>SUM(D287:O287)</f>
        <v>799697.37499999988</v>
      </c>
    </row>
    <row r="288" spans="1:16">
      <c r="A288" s="18"/>
      <c r="B288" s="18" t="s">
        <v>577</v>
      </c>
      <c r="C288" s="18"/>
      <c r="D288" s="466">
        <v>0</v>
      </c>
      <c r="E288" s="466">
        <v>0</v>
      </c>
      <c r="F288" s="466">
        <v>0</v>
      </c>
      <c r="G288" s="466">
        <v>0</v>
      </c>
      <c r="H288" s="466">
        <v>0</v>
      </c>
      <c r="I288" s="466">
        <v>0</v>
      </c>
      <c r="J288" s="466">
        <v>0</v>
      </c>
      <c r="K288" s="466">
        <v>0</v>
      </c>
      <c r="L288" s="466">
        <v>0</v>
      </c>
      <c r="M288" s="466">
        <v>0</v>
      </c>
      <c r="N288" s="466">
        <v>0</v>
      </c>
      <c r="O288" s="466">
        <v>0</v>
      </c>
      <c r="P288" s="466">
        <f t="shared" ref="P288:P293" si="61">SUM(D288:O288)</f>
        <v>0</v>
      </c>
    </row>
    <row r="289" spans="1:16">
      <c r="A289" s="18"/>
      <c r="B289" s="18" t="s">
        <v>578</v>
      </c>
      <c r="C289" s="18"/>
      <c r="D289" s="466">
        <v>0</v>
      </c>
      <c r="E289" s="466">
        <v>0</v>
      </c>
      <c r="F289" s="466">
        <v>0</v>
      </c>
      <c r="G289" s="466">
        <v>0</v>
      </c>
      <c r="H289" s="466">
        <v>0</v>
      </c>
      <c r="I289" s="466">
        <v>0</v>
      </c>
      <c r="J289" s="466">
        <v>0</v>
      </c>
      <c r="K289" s="466">
        <v>0</v>
      </c>
      <c r="L289" s="466">
        <v>0</v>
      </c>
      <c r="M289" s="466">
        <v>0</v>
      </c>
      <c r="N289" s="466">
        <v>0</v>
      </c>
      <c r="O289" s="466">
        <v>0</v>
      </c>
      <c r="P289" s="466">
        <f t="shared" si="61"/>
        <v>0</v>
      </c>
    </row>
    <row r="290" spans="1:16">
      <c r="A290" s="18"/>
      <c r="B290" s="18" t="s">
        <v>579</v>
      </c>
      <c r="C290" s="18"/>
      <c r="D290" s="466">
        <v>0</v>
      </c>
      <c r="E290" s="466">
        <v>0</v>
      </c>
      <c r="F290" s="466">
        <v>0</v>
      </c>
      <c r="G290" s="466">
        <v>0</v>
      </c>
      <c r="H290" s="466">
        <v>0</v>
      </c>
      <c r="I290" s="466">
        <v>0</v>
      </c>
      <c r="J290" s="466">
        <v>0</v>
      </c>
      <c r="K290" s="466">
        <v>0</v>
      </c>
      <c r="L290" s="466">
        <v>0</v>
      </c>
      <c r="M290" s="466">
        <v>0</v>
      </c>
      <c r="N290" s="466">
        <v>0</v>
      </c>
      <c r="O290" s="466">
        <v>0</v>
      </c>
      <c r="P290" s="466">
        <f t="shared" si="61"/>
        <v>0</v>
      </c>
    </row>
    <row r="291" spans="1:16">
      <c r="A291" s="18"/>
      <c r="B291" s="18" t="s">
        <v>580</v>
      </c>
      <c r="C291" s="18"/>
      <c r="D291" s="466">
        <v>0</v>
      </c>
      <c r="E291" s="466">
        <v>0</v>
      </c>
      <c r="F291" s="466">
        <v>0</v>
      </c>
      <c r="G291" s="466">
        <v>0</v>
      </c>
      <c r="H291" s="466">
        <v>0</v>
      </c>
      <c r="I291" s="466">
        <v>0</v>
      </c>
      <c r="J291" s="466">
        <v>0</v>
      </c>
      <c r="K291" s="466">
        <v>0</v>
      </c>
      <c r="L291" s="466">
        <v>0</v>
      </c>
      <c r="M291" s="466">
        <v>0</v>
      </c>
      <c r="N291" s="466">
        <v>0</v>
      </c>
      <c r="O291" s="466">
        <v>0</v>
      </c>
      <c r="P291" s="466">
        <f t="shared" si="61"/>
        <v>0</v>
      </c>
    </row>
    <row r="292" spans="1:16">
      <c r="A292" s="18"/>
      <c r="B292" s="18" t="s">
        <v>581</v>
      </c>
      <c r="C292" s="18"/>
      <c r="D292" s="466">
        <v>0</v>
      </c>
      <c r="E292" s="466">
        <v>0</v>
      </c>
      <c r="F292" s="466">
        <v>0</v>
      </c>
      <c r="G292" s="466">
        <v>0</v>
      </c>
      <c r="H292" s="466">
        <v>0</v>
      </c>
      <c r="I292" s="466">
        <v>0</v>
      </c>
      <c r="J292" s="466">
        <v>0</v>
      </c>
      <c r="K292" s="466">
        <v>0</v>
      </c>
      <c r="L292" s="466">
        <v>0</v>
      </c>
      <c r="M292" s="466">
        <v>0</v>
      </c>
      <c r="N292" s="466">
        <v>0</v>
      </c>
      <c r="O292" s="466">
        <v>0</v>
      </c>
      <c r="P292" s="466">
        <f t="shared" si="61"/>
        <v>0</v>
      </c>
    </row>
    <row r="293" spans="1:16">
      <c r="A293" s="18"/>
      <c r="B293" s="18" t="s">
        <v>650</v>
      </c>
      <c r="C293" s="18"/>
      <c r="D293" s="466"/>
      <c r="E293" s="466"/>
      <c r="F293" s="466"/>
      <c r="G293" s="466"/>
      <c r="H293" s="466">
        <v>0</v>
      </c>
      <c r="I293" s="466">
        <v>0</v>
      </c>
      <c r="J293" s="466">
        <v>0</v>
      </c>
      <c r="K293" s="466">
        <v>0</v>
      </c>
      <c r="L293" s="466">
        <v>0</v>
      </c>
      <c r="M293" s="466">
        <v>0</v>
      </c>
      <c r="N293" s="466">
        <v>0</v>
      </c>
      <c r="O293" s="466">
        <v>0</v>
      </c>
      <c r="P293" s="466">
        <f t="shared" si="61"/>
        <v>0</v>
      </c>
    </row>
    <row r="294" spans="1:16">
      <c r="A294" s="18"/>
      <c r="B294" s="18" t="s">
        <v>64</v>
      </c>
      <c r="C294" s="18"/>
      <c r="D294" s="466">
        <f>SUM(D286:D293)</f>
        <v>67164.77</v>
      </c>
      <c r="E294" s="466">
        <f t="shared" ref="E294:O294" si="62">SUM(E286:E293)</f>
        <v>67566.168999999994</v>
      </c>
      <c r="F294" s="466">
        <f t="shared" si="62"/>
        <v>66156.634000000005</v>
      </c>
      <c r="G294" s="466">
        <f t="shared" si="62"/>
        <v>66410.5</v>
      </c>
      <c r="H294" s="466">
        <f t="shared" si="62"/>
        <v>65021.133000000002</v>
      </c>
      <c r="I294" s="466">
        <f t="shared" si="62"/>
        <v>70605.3</v>
      </c>
      <c r="J294" s="466">
        <f t="shared" si="62"/>
        <v>70515.566999999995</v>
      </c>
      <c r="K294" s="466">
        <f t="shared" si="62"/>
        <v>60385.432999999997</v>
      </c>
      <c r="L294" s="466">
        <f t="shared" si="62"/>
        <v>68837.534</v>
      </c>
      <c r="M294" s="466">
        <f t="shared" si="62"/>
        <v>60483.665000000001</v>
      </c>
      <c r="N294" s="466">
        <f t="shared" si="62"/>
        <v>69459.769</v>
      </c>
      <c r="O294" s="466">
        <f t="shared" si="62"/>
        <v>67090.900999999998</v>
      </c>
      <c r="P294" s="466">
        <f>SUM(P286:P293)</f>
        <v>799697.37499999988</v>
      </c>
    </row>
    <row r="295" spans="1:16">
      <c r="A295" s="18" t="s">
        <v>561</v>
      </c>
      <c r="B295" s="18" t="s">
        <v>587</v>
      </c>
      <c r="C295" s="18"/>
      <c r="D295" s="466">
        <v>0</v>
      </c>
      <c r="E295" s="466">
        <v>0</v>
      </c>
      <c r="F295" s="466">
        <v>0</v>
      </c>
      <c r="G295" s="466">
        <v>0</v>
      </c>
      <c r="H295" s="466">
        <v>0</v>
      </c>
      <c r="I295" s="466">
        <v>0</v>
      </c>
      <c r="J295" s="466">
        <v>0</v>
      </c>
      <c r="K295" s="466">
        <v>0</v>
      </c>
      <c r="L295" s="466">
        <v>0</v>
      </c>
      <c r="M295" s="466">
        <v>0</v>
      </c>
      <c r="N295" s="466">
        <v>0</v>
      </c>
      <c r="O295" s="466">
        <v>0</v>
      </c>
      <c r="P295" s="466">
        <f>SUM(D295:O295)</f>
        <v>0</v>
      </c>
    </row>
    <row r="296" spans="1:16">
      <c r="A296" s="18"/>
      <c r="B296" s="18" t="s">
        <v>571</v>
      </c>
      <c r="C296" s="18"/>
      <c r="D296" s="466">
        <v>348294.70146000001</v>
      </c>
      <c r="E296" s="466">
        <v>348378.37747000001</v>
      </c>
      <c r="F296" s="466">
        <v>354557.06011999998</v>
      </c>
      <c r="G296" s="466">
        <v>328506.57347</v>
      </c>
      <c r="H296" s="466">
        <v>345912.76400000002</v>
      </c>
      <c r="I296" s="466">
        <v>333589.87540999998</v>
      </c>
      <c r="J296" s="466">
        <v>363370.62699999998</v>
      </c>
      <c r="K296" s="466">
        <v>296351.391</v>
      </c>
      <c r="L296" s="466">
        <v>371545.20600000001</v>
      </c>
      <c r="M296" s="466">
        <v>322177.728</v>
      </c>
      <c r="N296" s="466">
        <v>350692.23499999999</v>
      </c>
      <c r="O296" s="466">
        <v>342349.462</v>
      </c>
      <c r="P296" s="466">
        <f>SUM(D296:O296)</f>
        <v>4105726.0009299992</v>
      </c>
    </row>
    <row r="297" spans="1:16">
      <c r="A297" s="18"/>
      <c r="B297" s="18" t="s">
        <v>577</v>
      </c>
      <c r="C297" s="18"/>
      <c r="D297" s="466">
        <v>0</v>
      </c>
      <c r="E297" s="466">
        <v>0</v>
      </c>
      <c r="F297" s="466">
        <v>0</v>
      </c>
      <c r="G297" s="466">
        <v>0</v>
      </c>
      <c r="H297" s="466">
        <v>0</v>
      </c>
      <c r="I297" s="466">
        <v>0</v>
      </c>
      <c r="J297" s="466">
        <v>0</v>
      </c>
      <c r="K297" s="466">
        <v>0</v>
      </c>
      <c r="L297" s="466">
        <v>0</v>
      </c>
      <c r="M297" s="466">
        <v>0</v>
      </c>
      <c r="N297" s="466">
        <v>0</v>
      </c>
      <c r="O297" s="466">
        <v>0</v>
      </c>
      <c r="P297" s="466">
        <f t="shared" ref="P297:P302" si="63">SUM(D297:O297)</f>
        <v>0</v>
      </c>
    </row>
    <row r="298" spans="1:16">
      <c r="A298" s="18"/>
      <c r="B298" s="18" t="s">
        <v>578</v>
      </c>
      <c r="C298" s="18"/>
      <c r="D298" s="466">
        <v>0</v>
      </c>
      <c r="E298" s="466">
        <v>0</v>
      </c>
      <c r="F298" s="466">
        <v>0</v>
      </c>
      <c r="G298" s="466">
        <v>0</v>
      </c>
      <c r="H298" s="466">
        <v>0</v>
      </c>
      <c r="I298" s="466">
        <v>0</v>
      </c>
      <c r="J298" s="466">
        <v>0</v>
      </c>
      <c r="K298" s="466">
        <v>0</v>
      </c>
      <c r="L298" s="466">
        <v>0</v>
      </c>
      <c r="M298" s="466">
        <v>0</v>
      </c>
      <c r="N298" s="466">
        <v>0</v>
      </c>
      <c r="O298" s="466">
        <v>0</v>
      </c>
      <c r="P298" s="466">
        <f t="shared" si="63"/>
        <v>0</v>
      </c>
    </row>
    <row r="299" spans="1:16">
      <c r="A299" s="18"/>
      <c r="B299" s="18" t="s">
        <v>579</v>
      </c>
      <c r="C299" s="18"/>
      <c r="D299" s="466">
        <v>0</v>
      </c>
      <c r="E299" s="466">
        <v>0</v>
      </c>
      <c r="F299" s="466">
        <v>0</v>
      </c>
      <c r="G299" s="466">
        <v>0</v>
      </c>
      <c r="H299" s="466">
        <v>0</v>
      </c>
      <c r="I299" s="466">
        <v>0</v>
      </c>
      <c r="J299" s="466">
        <v>0</v>
      </c>
      <c r="K299" s="466">
        <v>0</v>
      </c>
      <c r="L299" s="466">
        <v>0</v>
      </c>
      <c r="M299" s="466">
        <v>0</v>
      </c>
      <c r="N299" s="466">
        <v>0</v>
      </c>
      <c r="O299" s="466">
        <v>0</v>
      </c>
      <c r="P299" s="466">
        <f t="shared" si="63"/>
        <v>0</v>
      </c>
    </row>
    <row r="300" spans="1:16">
      <c r="A300" s="18"/>
      <c r="B300" s="18" t="s">
        <v>580</v>
      </c>
      <c r="C300" s="18"/>
      <c r="D300" s="466">
        <v>0</v>
      </c>
      <c r="E300" s="466">
        <v>0</v>
      </c>
      <c r="F300" s="466">
        <v>0</v>
      </c>
      <c r="G300" s="466">
        <v>0</v>
      </c>
      <c r="H300" s="466">
        <v>0</v>
      </c>
      <c r="I300" s="466">
        <v>0</v>
      </c>
      <c r="J300" s="466">
        <v>0</v>
      </c>
      <c r="K300" s="466">
        <v>0</v>
      </c>
      <c r="L300" s="466">
        <v>0</v>
      </c>
      <c r="M300" s="466">
        <v>0</v>
      </c>
      <c r="N300" s="466">
        <v>0</v>
      </c>
      <c r="O300" s="466">
        <v>0</v>
      </c>
      <c r="P300" s="466">
        <f t="shared" si="63"/>
        <v>0</v>
      </c>
    </row>
    <row r="301" spans="1:16">
      <c r="A301" s="18"/>
      <c r="B301" s="18" t="s">
        <v>581</v>
      </c>
      <c r="C301" s="18"/>
      <c r="D301" s="466">
        <v>0</v>
      </c>
      <c r="E301" s="466">
        <v>0</v>
      </c>
      <c r="F301" s="466">
        <v>0</v>
      </c>
      <c r="G301" s="466">
        <v>0</v>
      </c>
      <c r="H301" s="466">
        <v>0</v>
      </c>
      <c r="I301" s="466">
        <v>0</v>
      </c>
      <c r="J301" s="466">
        <v>0</v>
      </c>
      <c r="K301" s="466">
        <v>0</v>
      </c>
      <c r="L301" s="466">
        <v>0</v>
      </c>
      <c r="M301" s="466">
        <v>0</v>
      </c>
      <c r="N301" s="466">
        <v>0</v>
      </c>
      <c r="O301" s="466">
        <v>0</v>
      </c>
      <c r="P301" s="466">
        <f t="shared" si="63"/>
        <v>0</v>
      </c>
    </row>
    <row r="302" spans="1:16">
      <c r="A302" s="18"/>
      <c r="B302" s="18" t="s">
        <v>650</v>
      </c>
      <c r="C302" s="18"/>
      <c r="D302" s="466"/>
      <c r="E302" s="466"/>
      <c r="F302" s="466"/>
      <c r="G302" s="466"/>
      <c r="H302" s="466">
        <v>0</v>
      </c>
      <c r="I302" s="466">
        <v>0</v>
      </c>
      <c r="J302" s="466">
        <v>0</v>
      </c>
      <c r="K302" s="466">
        <v>0</v>
      </c>
      <c r="L302" s="466">
        <v>0</v>
      </c>
      <c r="M302" s="466">
        <v>0</v>
      </c>
      <c r="N302" s="466">
        <v>0</v>
      </c>
      <c r="O302" s="466">
        <v>0</v>
      </c>
      <c r="P302" s="466">
        <f t="shared" si="63"/>
        <v>0</v>
      </c>
    </row>
    <row r="303" spans="1:16">
      <c r="A303" s="18"/>
      <c r="B303" s="18" t="s">
        <v>64</v>
      </c>
      <c r="C303" s="18"/>
      <c r="D303" s="466">
        <f>SUM(D295:D302)</f>
        <v>348294.70146000001</v>
      </c>
      <c r="E303" s="466">
        <f t="shared" ref="E303:O303" si="64">SUM(E295:E302)</f>
        <v>348378.37747000001</v>
      </c>
      <c r="F303" s="466">
        <f t="shared" si="64"/>
        <v>354557.06011999998</v>
      </c>
      <c r="G303" s="466">
        <f t="shared" si="64"/>
        <v>328506.57347</v>
      </c>
      <c r="H303" s="466">
        <f t="shared" si="64"/>
        <v>345912.76400000002</v>
      </c>
      <c r="I303" s="466">
        <f t="shared" si="64"/>
        <v>333589.87540999998</v>
      </c>
      <c r="J303" s="466">
        <f t="shared" si="64"/>
        <v>363370.62699999998</v>
      </c>
      <c r="K303" s="466">
        <f t="shared" si="64"/>
        <v>296351.391</v>
      </c>
      <c r="L303" s="466">
        <f t="shared" si="64"/>
        <v>371545.20600000001</v>
      </c>
      <c r="M303" s="466">
        <f t="shared" si="64"/>
        <v>322177.728</v>
      </c>
      <c r="N303" s="466">
        <f t="shared" si="64"/>
        <v>350692.23499999999</v>
      </c>
      <c r="O303" s="466">
        <f t="shared" si="64"/>
        <v>342349.462</v>
      </c>
      <c r="P303" s="466">
        <f>SUM(P295:P302)</f>
        <v>4105726.0009299992</v>
      </c>
    </row>
    <row r="304" spans="1:16">
      <c r="A304" s="18" t="s">
        <v>562</v>
      </c>
      <c r="B304" s="18" t="s">
        <v>587</v>
      </c>
      <c r="C304" s="18"/>
      <c r="D304" s="466">
        <v>0</v>
      </c>
      <c r="E304" s="466">
        <v>0</v>
      </c>
      <c r="F304" s="466">
        <v>0</v>
      </c>
      <c r="G304" s="466">
        <v>0</v>
      </c>
      <c r="H304" s="466">
        <v>0</v>
      </c>
      <c r="I304" s="466">
        <v>0</v>
      </c>
      <c r="J304" s="466">
        <v>0</v>
      </c>
      <c r="K304" s="466">
        <v>0</v>
      </c>
      <c r="L304" s="466">
        <v>0</v>
      </c>
      <c r="M304" s="466">
        <v>0</v>
      </c>
      <c r="N304" s="466">
        <v>0</v>
      </c>
      <c r="O304" s="466">
        <v>0</v>
      </c>
      <c r="P304" s="466">
        <f>SUM(D304:O304)</f>
        <v>0</v>
      </c>
    </row>
    <row r="305" spans="1:16">
      <c r="A305" s="18"/>
      <c r="B305" s="18" t="s">
        <v>571</v>
      </c>
      <c r="C305" s="18"/>
      <c r="D305" s="466">
        <v>184848.82</v>
      </c>
      <c r="E305" s="466">
        <v>185095.11600000001</v>
      </c>
      <c r="F305" s="466">
        <v>185363.09172999999</v>
      </c>
      <c r="G305" s="466">
        <v>172823.60028000001</v>
      </c>
      <c r="H305" s="466">
        <v>179952.70699999999</v>
      </c>
      <c r="I305" s="466">
        <v>189738.114</v>
      </c>
      <c r="J305" s="466">
        <v>195295.39600000001</v>
      </c>
      <c r="K305" s="466">
        <v>153939.71799999999</v>
      </c>
      <c r="L305" s="466">
        <v>174975.56200000001</v>
      </c>
      <c r="M305" s="466">
        <v>162876.144</v>
      </c>
      <c r="N305" s="466">
        <v>185660.15599999999</v>
      </c>
      <c r="O305" s="466">
        <v>172942.01500000001</v>
      </c>
      <c r="P305" s="466">
        <f>SUM(D305:O305)</f>
        <v>2143510.44001</v>
      </c>
    </row>
    <row r="306" spans="1:16">
      <c r="A306" s="18"/>
      <c r="B306" s="18" t="s">
        <v>576</v>
      </c>
      <c r="C306" s="18"/>
      <c r="D306" s="466">
        <v>0</v>
      </c>
      <c r="E306" s="466">
        <v>0</v>
      </c>
      <c r="F306" s="466">
        <v>0</v>
      </c>
      <c r="G306" s="466">
        <v>0</v>
      </c>
      <c r="H306" s="466">
        <v>0</v>
      </c>
      <c r="I306" s="466">
        <v>0</v>
      </c>
      <c r="J306" s="466">
        <v>0</v>
      </c>
      <c r="K306" s="466">
        <v>0</v>
      </c>
      <c r="L306" s="466">
        <v>0</v>
      </c>
      <c r="M306" s="466">
        <v>0</v>
      </c>
      <c r="N306" s="466">
        <v>0</v>
      </c>
      <c r="O306" s="466">
        <v>0</v>
      </c>
      <c r="P306" s="466">
        <f t="shared" ref="P306:P312" si="65">SUM(D306:O306)</f>
        <v>0</v>
      </c>
    </row>
    <row r="307" spans="1:16">
      <c r="A307" s="18"/>
      <c r="B307" s="18" t="s">
        <v>577</v>
      </c>
      <c r="C307" s="18"/>
      <c r="D307" s="466">
        <v>0</v>
      </c>
      <c r="E307" s="466">
        <v>0</v>
      </c>
      <c r="F307" s="466">
        <v>0</v>
      </c>
      <c r="G307" s="466">
        <v>0</v>
      </c>
      <c r="H307" s="466">
        <v>0</v>
      </c>
      <c r="I307" s="466">
        <v>0</v>
      </c>
      <c r="J307" s="466">
        <v>0</v>
      </c>
      <c r="K307" s="466">
        <v>0</v>
      </c>
      <c r="L307" s="466">
        <v>0</v>
      </c>
      <c r="M307" s="466">
        <v>0</v>
      </c>
      <c r="N307" s="466">
        <v>0</v>
      </c>
      <c r="O307" s="466">
        <v>0</v>
      </c>
      <c r="P307" s="466">
        <f t="shared" si="65"/>
        <v>0</v>
      </c>
    </row>
    <row r="308" spans="1:16">
      <c r="A308" s="18"/>
      <c r="B308" s="18" t="s">
        <v>578</v>
      </c>
      <c r="C308" s="18"/>
      <c r="D308" s="466">
        <v>0</v>
      </c>
      <c r="E308" s="466">
        <v>0</v>
      </c>
      <c r="F308" s="466">
        <v>0</v>
      </c>
      <c r="G308" s="466">
        <v>0</v>
      </c>
      <c r="H308" s="466">
        <v>0</v>
      </c>
      <c r="I308" s="466">
        <v>0</v>
      </c>
      <c r="J308" s="466">
        <v>0</v>
      </c>
      <c r="K308" s="466">
        <v>0</v>
      </c>
      <c r="L308" s="466">
        <v>0</v>
      </c>
      <c r="M308" s="466">
        <v>0</v>
      </c>
      <c r="N308" s="466">
        <v>0</v>
      </c>
      <c r="O308" s="466">
        <v>0</v>
      </c>
      <c r="P308" s="466">
        <f t="shared" si="65"/>
        <v>0</v>
      </c>
    </row>
    <row r="309" spans="1:16">
      <c r="A309" s="18"/>
      <c r="B309" s="18" t="s">
        <v>579</v>
      </c>
      <c r="C309" s="18"/>
      <c r="D309" s="466">
        <v>0</v>
      </c>
      <c r="E309" s="466">
        <v>0</v>
      </c>
      <c r="F309" s="466">
        <v>0</v>
      </c>
      <c r="G309" s="466">
        <v>0</v>
      </c>
      <c r="H309" s="466">
        <v>0</v>
      </c>
      <c r="I309" s="466">
        <v>0</v>
      </c>
      <c r="J309" s="466">
        <v>0</v>
      </c>
      <c r="K309" s="466">
        <v>0</v>
      </c>
      <c r="L309" s="466">
        <v>0</v>
      </c>
      <c r="M309" s="466">
        <v>0</v>
      </c>
      <c r="N309" s="466">
        <v>0</v>
      </c>
      <c r="O309" s="466">
        <v>0</v>
      </c>
      <c r="P309" s="466">
        <f t="shared" si="65"/>
        <v>0</v>
      </c>
    </row>
    <row r="310" spans="1:16">
      <c r="A310" s="18"/>
      <c r="B310" s="18" t="s">
        <v>580</v>
      </c>
      <c r="C310" s="18"/>
      <c r="D310" s="466">
        <v>0</v>
      </c>
      <c r="E310" s="466">
        <v>0</v>
      </c>
      <c r="F310" s="466">
        <v>0</v>
      </c>
      <c r="G310" s="466">
        <v>0</v>
      </c>
      <c r="H310" s="466">
        <v>0</v>
      </c>
      <c r="I310" s="466">
        <v>0</v>
      </c>
      <c r="J310" s="466">
        <v>0</v>
      </c>
      <c r="K310" s="466">
        <v>0</v>
      </c>
      <c r="L310" s="466">
        <v>0</v>
      </c>
      <c r="M310" s="466">
        <v>0</v>
      </c>
      <c r="N310" s="466">
        <v>0</v>
      </c>
      <c r="O310" s="466">
        <v>0</v>
      </c>
      <c r="P310" s="466">
        <f t="shared" si="65"/>
        <v>0</v>
      </c>
    </row>
    <row r="311" spans="1:16">
      <c r="A311" s="18"/>
      <c r="B311" s="18" t="s">
        <v>581</v>
      </c>
      <c r="C311" s="18"/>
      <c r="D311" s="466">
        <v>0</v>
      </c>
      <c r="E311" s="466">
        <v>0</v>
      </c>
      <c r="F311" s="466">
        <v>0</v>
      </c>
      <c r="G311" s="466">
        <v>0</v>
      </c>
      <c r="H311" s="466">
        <v>0</v>
      </c>
      <c r="I311" s="466">
        <v>0</v>
      </c>
      <c r="J311" s="466">
        <v>0</v>
      </c>
      <c r="K311" s="466">
        <v>0</v>
      </c>
      <c r="L311" s="466">
        <v>0</v>
      </c>
      <c r="M311" s="466">
        <v>0</v>
      </c>
      <c r="N311" s="466">
        <v>0</v>
      </c>
      <c r="O311" s="466">
        <v>0</v>
      </c>
      <c r="P311" s="466">
        <f t="shared" si="65"/>
        <v>0</v>
      </c>
    </row>
    <row r="312" spans="1:16">
      <c r="A312" s="18"/>
      <c r="B312" s="18" t="s">
        <v>650</v>
      </c>
      <c r="C312" s="18"/>
      <c r="D312" s="466"/>
      <c r="E312" s="466"/>
      <c r="F312" s="466"/>
      <c r="G312" s="466"/>
      <c r="H312" s="466">
        <v>0</v>
      </c>
      <c r="I312" s="466">
        <v>0</v>
      </c>
      <c r="J312" s="466">
        <v>0</v>
      </c>
      <c r="K312" s="466">
        <v>0</v>
      </c>
      <c r="L312" s="466">
        <v>0</v>
      </c>
      <c r="M312" s="466">
        <v>0</v>
      </c>
      <c r="N312" s="466">
        <v>0</v>
      </c>
      <c r="O312" s="466">
        <v>0</v>
      </c>
      <c r="P312" s="466">
        <f t="shared" si="65"/>
        <v>0</v>
      </c>
    </row>
    <row r="313" spans="1:16">
      <c r="A313" s="18"/>
      <c r="B313" s="18" t="s">
        <v>64</v>
      </c>
      <c r="C313" s="18"/>
      <c r="D313" s="466">
        <f>SUM(D304:D312)</f>
        <v>184848.82</v>
      </c>
      <c r="E313" s="466">
        <f t="shared" ref="E313:O313" si="66">SUM(E304:E312)</f>
        <v>185095.11600000001</v>
      </c>
      <c r="F313" s="466">
        <f t="shared" si="66"/>
        <v>185363.09172999999</v>
      </c>
      <c r="G313" s="466">
        <f t="shared" si="66"/>
        <v>172823.60028000001</v>
      </c>
      <c r="H313" s="466">
        <f t="shared" si="66"/>
        <v>179952.70699999999</v>
      </c>
      <c r="I313" s="466">
        <f t="shared" si="66"/>
        <v>189738.114</v>
      </c>
      <c r="J313" s="466">
        <f t="shared" si="66"/>
        <v>195295.39600000001</v>
      </c>
      <c r="K313" s="466">
        <f t="shared" si="66"/>
        <v>153939.71799999999</v>
      </c>
      <c r="L313" s="466">
        <f t="shared" si="66"/>
        <v>174975.56200000001</v>
      </c>
      <c r="M313" s="466">
        <f t="shared" si="66"/>
        <v>162876.144</v>
      </c>
      <c r="N313" s="466">
        <f t="shared" si="66"/>
        <v>185660.15599999999</v>
      </c>
      <c r="O313" s="466">
        <f t="shared" si="66"/>
        <v>172942.01500000001</v>
      </c>
      <c r="P313" s="466">
        <f>SUM(P304:P312)</f>
        <v>2143510.44001</v>
      </c>
    </row>
    <row r="314" spans="1:16">
      <c r="A314" s="18" t="s">
        <v>563</v>
      </c>
      <c r="B314" s="18" t="s">
        <v>588</v>
      </c>
      <c r="C314" s="18"/>
      <c r="D314" s="466">
        <v>0</v>
      </c>
      <c r="E314" s="466">
        <v>0</v>
      </c>
      <c r="F314" s="466">
        <v>0</v>
      </c>
      <c r="G314" s="466">
        <v>0</v>
      </c>
      <c r="H314" s="466">
        <v>0</v>
      </c>
      <c r="I314" s="466">
        <v>0</v>
      </c>
      <c r="J314" s="466">
        <v>0</v>
      </c>
      <c r="K314" s="466">
        <v>0</v>
      </c>
      <c r="L314" s="466">
        <v>0</v>
      </c>
      <c r="M314" s="466">
        <v>0</v>
      </c>
      <c r="N314" s="466">
        <v>0</v>
      </c>
      <c r="O314" s="466">
        <v>0</v>
      </c>
      <c r="P314" s="466">
        <v>0</v>
      </c>
    </row>
    <row r="315" spans="1:16">
      <c r="A315" s="18"/>
      <c r="B315" s="18" t="s">
        <v>571</v>
      </c>
      <c r="C315" s="18"/>
      <c r="D315" s="466"/>
      <c r="E315" s="466"/>
      <c r="F315" s="466">
        <v>0</v>
      </c>
      <c r="G315" s="466">
        <v>0</v>
      </c>
      <c r="H315" s="466">
        <v>0</v>
      </c>
      <c r="I315" s="466">
        <v>0</v>
      </c>
      <c r="J315" s="466">
        <v>0</v>
      </c>
      <c r="K315" s="466">
        <v>0</v>
      </c>
      <c r="L315" s="466">
        <v>0</v>
      </c>
      <c r="M315" s="466">
        <v>0</v>
      </c>
      <c r="N315" s="466">
        <v>0</v>
      </c>
      <c r="O315" s="466">
        <v>0</v>
      </c>
      <c r="P315" s="466">
        <v>0</v>
      </c>
    </row>
    <row r="316" spans="1:16">
      <c r="A316" s="18"/>
      <c r="B316" s="18" t="s">
        <v>64</v>
      </c>
      <c r="C316" s="18"/>
      <c r="D316" s="466">
        <v>0</v>
      </c>
      <c r="E316" s="466">
        <v>0</v>
      </c>
      <c r="F316" s="466">
        <v>0</v>
      </c>
      <c r="G316" s="466">
        <v>0</v>
      </c>
      <c r="H316" s="466">
        <v>0</v>
      </c>
      <c r="I316" s="466">
        <v>0</v>
      </c>
      <c r="J316" s="466">
        <v>0</v>
      </c>
      <c r="K316" s="466">
        <v>0</v>
      </c>
      <c r="L316" s="466">
        <v>0</v>
      </c>
      <c r="M316" s="466">
        <v>0</v>
      </c>
      <c r="N316" s="466">
        <v>0</v>
      </c>
      <c r="O316" s="466">
        <v>0</v>
      </c>
      <c r="P316" s="466">
        <v>0</v>
      </c>
    </row>
    <row r="317" spans="1:16">
      <c r="A317" s="18" t="s">
        <v>564</v>
      </c>
      <c r="B317" s="18" t="s">
        <v>588</v>
      </c>
      <c r="C317" s="18"/>
      <c r="D317" s="466">
        <v>0</v>
      </c>
      <c r="E317" s="466">
        <v>0</v>
      </c>
      <c r="F317" s="466">
        <v>0</v>
      </c>
      <c r="G317" s="466">
        <v>0</v>
      </c>
      <c r="H317" s="466">
        <v>0</v>
      </c>
      <c r="I317" s="466">
        <v>0</v>
      </c>
      <c r="J317" s="466">
        <v>0</v>
      </c>
      <c r="K317" s="466">
        <v>0</v>
      </c>
      <c r="L317" s="466">
        <v>0</v>
      </c>
      <c r="M317" s="466">
        <v>0</v>
      </c>
      <c r="N317" s="466">
        <v>0</v>
      </c>
      <c r="O317" s="466">
        <v>0</v>
      </c>
      <c r="P317" s="466">
        <v>0</v>
      </c>
    </row>
    <row r="318" spans="1:16" s="504" customFormat="1">
      <c r="A318" s="18"/>
      <c r="B318" s="18" t="s">
        <v>64</v>
      </c>
      <c r="C318" s="18"/>
      <c r="D318" s="466">
        <v>0</v>
      </c>
      <c r="E318" s="466">
        <v>0</v>
      </c>
      <c r="F318" s="466">
        <v>0</v>
      </c>
      <c r="G318" s="466">
        <v>0</v>
      </c>
      <c r="H318" s="466">
        <v>0</v>
      </c>
      <c r="I318" s="466">
        <v>0</v>
      </c>
      <c r="J318" s="466">
        <v>0</v>
      </c>
      <c r="K318" s="466">
        <v>0</v>
      </c>
      <c r="L318" s="466">
        <v>0</v>
      </c>
      <c r="M318" s="466">
        <v>0</v>
      </c>
      <c r="N318" s="466">
        <v>0</v>
      </c>
      <c r="O318" s="466">
        <v>0</v>
      </c>
      <c r="P318" s="466">
        <v>0</v>
      </c>
    </row>
    <row r="319" spans="1:16" s="504" customFormat="1">
      <c r="A319" s="18" t="s">
        <v>565</v>
      </c>
      <c r="B319" s="18" t="s">
        <v>571</v>
      </c>
      <c r="C319" s="18"/>
      <c r="D319" s="466">
        <v>0</v>
      </c>
      <c r="E319" s="466">
        <v>0</v>
      </c>
      <c r="F319" s="466">
        <v>0</v>
      </c>
      <c r="G319" s="466">
        <v>0</v>
      </c>
      <c r="H319" s="466">
        <v>0</v>
      </c>
      <c r="I319" s="466">
        <v>0</v>
      </c>
      <c r="J319" s="466">
        <v>0</v>
      </c>
      <c r="K319" s="466">
        <v>0</v>
      </c>
      <c r="L319" s="466">
        <v>0</v>
      </c>
      <c r="M319" s="466">
        <v>0</v>
      </c>
      <c r="N319" s="466">
        <v>0</v>
      </c>
      <c r="O319" s="466">
        <v>0</v>
      </c>
      <c r="P319" s="466">
        <v>0</v>
      </c>
    </row>
    <row r="320" spans="1:16" s="504" customFormat="1">
      <c r="A320" s="18"/>
      <c r="B320" s="18" t="s">
        <v>64</v>
      </c>
      <c r="C320" s="18"/>
      <c r="D320" s="466">
        <v>0</v>
      </c>
      <c r="E320" s="466">
        <v>0</v>
      </c>
      <c r="F320" s="466">
        <v>0</v>
      </c>
      <c r="G320" s="466">
        <v>0</v>
      </c>
      <c r="H320" s="466">
        <v>0</v>
      </c>
      <c r="I320" s="466">
        <v>0</v>
      </c>
      <c r="J320" s="466">
        <v>0</v>
      </c>
      <c r="K320" s="466">
        <v>0</v>
      </c>
      <c r="L320" s="466">
        <v>0</v>
      </c>
      <c r="M320" s="466">
        <v>0</v>
      </c>
      <c r="N320" s="466">
        <v>0</v>
      </c>
      <c r="O320" s="466">
        <v>0</v>
      </c>
      <c r="P320" s="466">
        <v>0</v>
      </c>
    </row>
    <row r="321" spans="1:16" s="504" customFormat="1">
      <c r="A321" s="18" t="s">
        <v>566</v>
      </c>
      <c r="B321" s="18" t="s">
        <v>571</v>
      </c>
      <c r="C321" s="18"/>
      <c r="D321" s="466">
        <v>0</v>
      </c>
      <c r="E321" s="466">
        <v>0</v>
      </c>
      <c r="F321" s="466">
        <v>0</v>
      </c>
      <c r="G321" s="466">
        <v>0</v>
      </c>
      <c r="H321" s="466">
        <v>0</v>
      </c>
      <c r="I321" s="466">
        <v>0</v>
      </c>
      <c r="J321" s="466">
        <v>0</v>
      </c>
      <c r="K321" s="466">
        <v>0</v>
      </c>
      <c r="L321" s="466">
        <v>0</v>
      </c>
      <c r="M321" s="466">
        <v>0</v>
      </c>
      <c r="N321" s="466">
        <v>0</v>
      </c>
      <c r="O321" s="466">
        <v>0</v>
      </c>
      <c r="P321" s="466">
        <v>0</v>
      </c>
    </row>
    <row r="322" spans="1:16" s="504" customFormat="1">
      <c r="A322" s="18"/>
      <c r="B322" s="18" t="s">
        <v>64</v>
      </c>
      <c r="C322" s="18"/>
      <c r="D322" s="466">
        <v>0</v>
      </c>
      <c r="E322" s="466">
        <v>0</v>
      </c>
      <c r="F322" s="466">
        <v>0</v>
      </c>
      <c r="G322" s="466">
        <v>0</v>
      </c>
      <c r="H322" s="466">
        <v>0</v>
      </c>
      <c r="I322" s="466">
        <v>0</v>
      </c>
      <c r="J322" s="466">
        <v>0</v>
      </c>
      <c r="K322" s="466">
        <v>0</v>
      </c>
      <c r="L322" s="466">
        <v>0</v>
      </c>
      <c r="M322" s="466">
        <v>0</v>
      </c>
      <c r="N322" s="466">
        <v>0</v>
      </c>
      <c r="O322" s="466">
        <v>0</v>
      </c>
      <c r="P322" s="466">
        <v>0</v>
      </c>
    </row>
    <row r="323" spans="1:16" s="504" customFormat="1">
      <c r="A323" s="18" t="s">
        <v>567</v>
      </c>
      <c r="B323" s="18" t="s">
        <v>589</v>
      </c>
      <c r="C323" s="18"/>
      <c r="D323" s="466">
        <v>0</v>
      </c>
      <c r="E323" s="466">
        <v>0</v>
      </c>
      <c r="F323" s="466">
        <v>0</v>
      </c>
      <c r="G323" s="466">
        <v>0</v>
      </c>
      <c r="H323" s="466">
        <v>0</v>
      </c>
      <c r="I323" s="466">
        <v>0</v>
      </c>
      <c r="J323" s="466">
        <v>0</v>
      </c>
      <c r="K323" s="466">
        <v>0</v>
      </c>
      <c r="L323" s="466">
        <v>0</v>
      </c>
      <c r="M323" s="466">
        <v>0</v>
      </c>
      <c r="N323" s="466">
        <v>0</v>
      </c>
      <c r="O323" s="466">
        <v>0</v>
      </c>
      <c r="P323" s="466">
        <v>0</v>
      </c>
    </row>
    <row r="324" spans="1:16" s="504" customFormat="1">
      <c r="A324" s="18"/>
      <c r="B324" s="18" t="s">
        <v>590</v>
      </c>
      <c r="C324" s="18"/>
      <c r="D324" s="466">
        <v>0</v>
      </c>
      <c r="E324" s="466">
        <v>0</v>
      </c>
      <c r="F324" s="466">
        <v>0</v>
      </c>
      <c r="G324" s="466">
        <v>0</v>
      </c>
      <c r="H324" s="466">
        <v>0</v>
      </c>
      <c r="I324" s="466">
        <v>0</v>
      </c>
      <c r="J324" s="466">
        <v>0</v>
      </c>
      <c r="K324" s="466">
        <v>0</v>
      </c>
      <c r="L324" s="466">
        <v>0</v>
      </c>
      <c r="M324" s="466">
        <v>0</v>
      </c>
      <c r="N324" s="466">
        <v>0</v>
      </c>
      <c r="O324" s="466">
        <v>0</v>
      </c>
      <c r="P324" s="466">
        <v>0</v>
      </c>
    </row>
    <row r="325" spans="1:16" s="504" customFormat="1">
      <c r="A325" s="18"/>
      <c r="B325" s="18" t="s">
        <v>64</v>
      </c>
      <c r="C325" s="18"/>
      <c r="D325" s="466">
        <v>0</v>
      </c>
      <c r="E325" s="466">
        <v>0</v>
      </c>
      <c r="F325" s="466">
        <v>0</v>
      </c>
      <c r="G325" s="466">
        <v>0</v>
      </c>
      <c r="H325" s="466">
        <v>0</v>
      </c>
      <c r="I325" s="466">
        <v>0</v>
      </c>
      <c r="J325" s="466">
        <v>0</v>
      </c>
      <c r="K325" s="466">
        <v>0</v>
      </c>
      <c r="L325" s="466">
        <v>0</v>
      </c>
      <c r="M325" s="466">
        <v>0</v>
      </c>
      <c r="N325" s="466">
        <v>0</v>
      </c>
      <c r="O325" s="466">
        <v>0</v>
      </c>
      <c r="P325" s="466">
        <v>0</v>
      </c>
    </row>
    <row r="326" spans="1:16" s="504" customFormat="1">
      <c r="A326" s="18" t="s">
        <v>64</v>
      </c>
      <c r="B326" s="18"/>
      <c r="C326" s="18"/>
      <c r="D326" s="466">
        <f>D74+D89+D104+D119+D149+D164+D194+D221+D235+D249+D258+D267+D276+D285+D294+D303+D313+D134+D179+D209</f>
        <v>447109331.25631005</v>
      </c>
      <c r="E326" s="466">
        <f t="shared" ref="E326:O326" si="67">E74+E89+E104+E119+E149+E164+E194+E221+E235+E249+E258+E267+E276+E285+E294+E303+E313+E134+E179+E209</f>
        <v>536405068.48247004</v>
      </c>
      <c r="F326" s="466">
        <f t="shared" si="67"/>
        <v>505274530.32285011</v>
      </c>
      <c r="G326" s="466">
        <f t="shared" si="67"/>
        <v>413678088.05175</v>
      </c>
      <c r="H326" s="466">
        <f t="shared" si="67"/>
        <v>454345116.9370001</v>
      </c>
      <c r="I326" s="466">
        <f t="shared" si="67"/>
        <v>593801302.91239989</v>
      </c>
      <c r="J326" s="466">
        <f t="shared" si="67"/>
        <v>654379423.70133996</v>
      </c>
      <c r="K326" s="466">
        <f t="shared" si="67"/>
        <v>430808844.62106997</v>
      </c>
      <c r="L326" s="466">
        <f t="shared" si="67"/>
        <v>574353558.04099</v>
      </c>
      <c r="M326" s="466">
        <f t="shared" si="67"/>
        <v>432286127.75300002</v>
      </c>
      <c r="N326" s="466">
        <f t="shared" si="67"/>
        <v>439755758.41501004</v>
      </c>
      <c r="O326" s="466">
        <f t="shared" si="67"/>
        <v>433962089.4359901</v>
      </c>
      <c r="P326" s="466">
        <f>P74+P89+P104+P119+P149+P164+P194+P221+P235+P249+P258+P267+P276+P285+P294+P303+P313+P134+P179+P209</f>
        <v>5916159239.9301796</v>
      </c>
    </row>
    <row r="327" spans="1:16" s="504" customFormat="1">
      <c r="A327" s="18"/>
      <c r="B327" s="18"/>
      <c r="C327" s="18"/>
      <c r="D327" s="466"/>
      <c r="E327" s="466"/>
      <c r="F327" s="466"/>
      <c r="G327" s="466"/>
      <c r="H327" s="466"/>
      <c r="I327" s="466"/>
      <c r="J327" s="466"/>
      <c r="K327" s="466"/>
      <c r="L327" s="466"/>
      <c r="M327" s="466"/>
      <c r="N327" s="466"/>
      <c r="O327" s="466"/>
      <c r="P327" s="466"/>
    </row>
    <row r="328" spans="1:16" s="504" customFormat="1">
      <c r="A328" s="18"/>
      <c r="B328" s="18"/>
      <c r="C328" s="18"/>
      <c r="D328" s="466"/>
      <c r="E328" s="466"/>
      <c r="F328" s="466"/>
      <c r="G328" s="466"/>
      <c r="H328" s="466"/>
      <c r="I328" s="466"/>
      <c r="J328" s="466"/>
      <c r="K328" s="466"/>
      <c r="L328" s="466"/>
      <c r="M328" s="466"/>
      <c r="N328" s="466"/>
      <c r="O328" s="466"/>
      <c r="P328" s="466"/>
    </row>
    <row r="329" spans="1:16" s="504" customFormat="1">
      <c r="A329" s="18"/>
      <c r="B329" s="18"/>
      <c r="C329" s="18"/>
      <c r="D329" s="466"/>
      <c r="E329" s="466"/>
      <c r="F329" s="466"/>
      <c r="G329" s="466"/>
      <c r="H329" s="466"/>
      <c r="I329" s="466"/>
      <c r="J329" s="466"/>
      <c r="K329" s="466"/>
      <c r="L329" s="466"/>
      <c r="M329" s="466"/>
      <c r="N329" s="466"/>
      <c r="O329" s="466"/>
      <c r="P329" s="466"/>
    </row>
    <row r="330" spans="1:16" s="504" customFormat="1">
      <c r="A330" s="18"/>
      <c r="B330" s="18"/>
      <c r="C330" s="18"/>
      <c r="D330" s="466"/>
      <c r="E330" s="466"/>
      <c r="F330" s="466"/>
      <c r="G330" s="466"/>
      <c r="H330" s="466"/>
      <c r="I330" s="466"/>
      <c r="J330" s="466"/>
      <c r="K330" s="466"/>
      <c r="L330" s="466"/>
      <c r="M330" s="466"/>
      <c r="N330" s="466"/>
      <c r="O330" s="466"/>
      <c r="P330" s="466"/>
    </row>
    <row r="331" spans="1:16">
      <c r="A331" s="18"/>
      <c r="B331" s="18"/>
      <c r="C331" s="18"/>
      <c r="D331" s="18"/>
      <c r="E331" s="18"/>
      <c r="F331" s="18"/>
      <c r="G331" s="18"/>
      <c r="H331" s="18"/>
      <c r="I331" s="18"/>
      <c r="J331" s="18"/>
      <c r="K331" s="18"/>
      <c r="L331" s="18"/>
      <c r="M331" s="18"/>
      <c r="N331" s="18"/>
      <c r="O331" s="18"/>
      <c r="P331" s="18"/>
    </row>
    <row r="332" spans="1:16">
      <c r="A332" s="18" t="s">
        <v>482</v>
      </c>
      <c r="B332" s="18"/>
      <c r="C332" s="18"/>
      <c r="D332" s="18" t="s">
        <v>789</v>
      </c>
      <c r="E332" s="18" t="s">
        <v>790</v>
      </c>
      <c r="F332" s="18" t="s">
        <v>791</v>
      </c>
      <c r="G332" s="18" t="s">
        <v>792</v>
      </c>
      <c r="H332" s="18" t="s">
        <v>793</v>
      </c>
      <c r="I332" s="18" t="s">
        <v>794</v>
      </c>
      <c r="J332" s="18" t="s">
        <v>795</v>
      </c>
      <c r="K332" s="18" t="s">
        <v>796</v>
      </c>
      <c r="L332" s="18" t="s">
        <v>797</v>
      </c>
      <c r="M332" s="18" t="s">
        <v>798</v>
      </c>
      <c r="N332" s="18" t="s">
        <v>799</v>
      </c>
      <c r="O332" s="18" t="s">
        <v>800</v>
      </c>
      <c r="P332" s="466"/>
    </row>
    <row r="333" spans="1:16">
      <c r="A333" s="18"/>
      <c r="B333" s="18"/>
      <c r="C333" s="367" t="s">
        <v>568</v>
      </c>
      <c r="D333" s="633">
        <f>D74+D89</f>
        <v>178411159.06897998</v>
      </c>
      <c r="E333" s="633">
        <f t="shared" ref="E333:O333" si="68">E74+E89</f>
        <v>235539613.01299998</v>
      </c>
      <c r="F333" s="633">
        <f t="shared" si="68"/>
        <v>205333108.56900004</v>
      </c>
      <c r="G333" s="633">
        <f t="shared" si="68"/>
        <v>151816164.55699998</v>
      </c>
      <c r="H333" s="633">
        <f t="shared" si="68"/>
        <v>202512555.27400002</v>
      </c>
      <c r="I333" s="633">
        <f t="shared" si="68"/>
        <v>306928015.91564995</v>
      </c>
      <c r="J333" s="633">
        <f t="shared" si="68"/>
        <v>318262322.22266996</v>
      </c>
      <c r="K333" s="633">
        <f t="shared" si="68"/>
        <v>239946113.91899002</v>
      </c>
      <c r="L333" s="633">
        <f t="shared" si="68"/>
        <v>282579452.50699002</v>
      </c>
      <c r="M333" s="633">
        <f t="shared" si="68"/>
        <v>197213803.02499998</v>
      </c>
      <c r="N333" s="633">
        <f t="shared" si="68"/>
        <v>180790318.74001002</v>
      </c>
      <c r="O333" s="633">
        <f t="shared" si="68"/>
        <v>171052115.68099001</v>
      </c>
      <c r="P333" s="466">
        <f>SUM(D333:O333)</f>
        <v>2670384742.49228</v>
      </c>
    </row>
    <row r="334" spans="1:16">
      <c r="A334" s="18"/>
      <c r="B334" s="18"/>
      <c r="C334" s="367" t="s">
        <v>435</v>
      </c>
      <c r="D334" s="633">
        <f>D104+D119</f>
        <v>52077814.426999994</v>
      </c>
      <c r="E334" s="633">
        <f t="shared" ref="E334:O334" si="69">E104+E119</f>
        <v>62905709.943000004</v>
      </c>
      <c r="F334" s="633">
        <f t="shared" si="69"/>
        <v>58291748.278000005</v>
      </c>
      <c r="G334" s="633">
        <f t="shared" si="69"/>
        <v>48798372.759999998</v>
      </c>
      <c r="H334" s="633">
        <f t="shared" si="69"/>
        <v>51458284.298</v>
      </c>
      <c r="I334" s="633">
        <f t="shared" si="69"/>
        <v>69898340.290319994</v>
      </c>
      <c r="J334" s="633">
        <f t="shared" si="69"/>
        <v>73435261.14447999</v>
      </c>
      <c r="K334" s="633">
        <f t="shared" si="69"/>
        <v>56174159.849079996</v>
      </c>
      <c r="L334" s="633">
        <f t="shared" si="69"/>
        <v>71507446.034999996</v>
      </c>
      <c r="M334" s="633">
        <f t="shared" si="69"/>
        <v>51485737.872999996</v>
      </c>
      <c r="N334" s="633">
        <f t="shared" si="69"/>
        <v>54342987.894000001</v>
      </c>
      <c r="O334" s="633">
        <f t="shared" si="69"/>
        <v>50377161.898999996</v>
      </c>
      <c r="P334" s="466">
        <f t="shared" ref="P334:P344" si="70">SUM(D334:O334)</f>
        <v>700753024.69088006</v>
      </c>
    </row>
    <row r="335" spans="1:16" s="630" customFormat="1">
      <c r="A335" s="18"/>
      <c r="B335" s="18"/>
      <c r="C335" s="707">
        <v>13</v>
      </c>
      <c r="D335" s="652">
        <f>D134</f>
        <v>24591.119999999999</v>
      </c>
      <c r="E335" s="652">
        <f t="shared" ref="E335:O335" si="71">E134</f>
        <v>28129.75</v>
      </c>
      <c r="F335" s="652">
        <f t="shared" si="71"/>
        <v>31714.89</v>
      </c>
      <c r="G335" s="652">
        <f t="shared" si="71"/>
        <v>34349.83</v>
      </c>
      <c r="H335" s="652">
        <f t="shared" si="71"/>
        <v>25962.47</v>
      </c>
      <c r="I335" s="652">
        <f t="shared" si="71"/>
        <v>22047.439999999999</v>
      </c>
      <c r="J335" s="652">
        <f t="shared" si="71"/>
        <v>24113.73</v>
      </c>
      <c r="K335" s="652">
        <f t="shared" si="71"/>
        <v>20235.900000000001</v>
      </c>
      <c r="L335" s="652">
        <f t="shared" si="71"/>
        <v>28153.02</v>
      </c>
      <c r="M335" s="652">
        <f t="shared" si="71"/>
        <v>34788.879999999997</v>
      </c>
      <c r="N335" s="652">
        <f t="shared" si="71"/>
        <v>43286.62</v>
      </c>
      <c r="O335" s="652">
        <f t="shared" si="71"/>
        <v>53242.720000000001</v>
      </c>
      <c r="P335" s="466">
        <f t="shared" si="70"/>
        <v>370616.37</v>
      </c>
    </row>
    <row r="336" spans="1:16" s="554" customFormat="1">
      <c r="A336" s="18"/>
      <c r="B336" s="18"/>
      <c r="C336" s="367"/>
      <c r="D336" s="633">
        <v>0</v>
      </c>
      <c r="E336" s="633">
        <v>0</v>
      </c>
      <c r="F336" s="633">
        <v>0</v>
      </c>
      <c r="G336" s="633">
        <v>0</v>
      </c>
      <c r="H336" s="633">
        <v>0</v>
      </c>
      <c r="I336" s="633">
        <v>0</v>
      </c>
      <c r="J336" s="633">
        <v>0</v>
      </c>
      <c r="K336" s="633">
        <v>0</v>
      </c>
      <c r="L336" s="633">
        <v>0</v>
      </c>
      <c r="M336" s="633">
        <v>0</v>
      </c>
      <c r="N336" s="633">
        <v>0</v>
      </c>
      <c r="O336" s="633">
        <v>0</v>
      </c>
      <c r="P336" s="466">
        <f t="shared" si="70"/>
        <v>0</v>
      </c>
    </row>
    <row r="337" spans="1:16">
      <c r="A337" s="18"/>
      <c r="B337" s="18"/>
      <c r="C337" s="367" t="s">
        <v>785</v>
      </c>
      <c r="D337" s="633">
        <f>D149+D164</f>
        <v>108796716.49299999</v>
      </c>
      <c r="E337" s="633">
        <f t="shared" ref="E337:O337" si="72">E149+E164</f>
        <v>123370843.69299999</v>
      </c>
      <c r="F337" s="633">
        <f t="shared" si="72"/>
        <v>117049838.59399998</v>
      </c>
      <c r="G337" s="633">
        <f t="shared" si="72"/>
        <v>105621667.315</v>
      </c>
      <c r="H337" s="633">
        <f t="shared" si="72"/>
        <v>101930317.45999999</v>
      </c>
      <c r="I337" s="633">
        <f t="shared" si="72"/>
        <v>120935524.903</v>
      </c>
      <c r="J337" s="633">
        <f t="shared" si="72"/>
        <v>120927815.72501999</v>
      </c>
      <c r="K337" s="633">
        <f t="shared" si="72"/>
        <v>88947209.826000005</v>
      </c>
      <c r="L337" s="633">
        <f t="shared" si="72"/>
        <v>127366580.693</v>
      </c>
      <c r="M337" s="633">
        <f t="shared" si="72"/>
        <v>94284539.151999995</v>
      </c>
      <c r="N337" s="633">
        <f t="shared" si="72"/>
        <v>109456320.89000002</v>
      </c>
      <c r="O337" s="633">
        <f t="shared" si="72"/>
        <v>106707968.88700001</v>
      </c>
      <c r="P337" s="466">
        <f t="shared" si="70"/>
        <v>1325395343.6310201</v>
      </c>
    </row>
    <row r="338" spans="1:16" s="630" customFormat="1">
      <c r="A338" s="18"/>
      <c r="B338" s="18"/>
      <c r="C338" s="707">
        <v>23</v>
      </c>
      <c r="D338" s="652">
        <f>+D179</f>
        <v>23864.6</v>
      </c>
      <c r="E338" s="652">
        <f t="shared" ref="E338:O338" si="73">+E179</f>
        <v>19273.009999999998</v>
      </c>
      <c r="F338" s="652">
        <f t="shared" si="73"/>
        <v>12887.93</v>
      </c>
      <c r="G338" s="652">
        <f t="shared" si="73"/>
        <v>17128.64</v>
      </c>
      <c r="H338" s="652">
        <f t="shared" si="73"/>
        <v>26353.360000000001</v>
      </c>
      <c r="I338" s="652">
        <f t="shared" si="73"/>
        <v>18179.060000000001</v>
      </c>
      <c r="J338" s="652">
        <f t="shared" si="73"/>
        <v>53826.03</v>
      </c>
      <c r="K338" s="652">
        <f t="shared" si="73"/>
        <v>0</v>
      </c>
      <c r="L338" s="652">
        <f t="shared" si="73"/>
        <v>141125.35999999999</v>
      </c>
      <c r="M338" s="652">
        <f t="shared" si="73"/>
        <v>21888.12</v>
      </c>
      <c r="N338" s="652">
        <f t="shared" si="73"/>
        <v>78707.48</v>
      </c>
      <c r="O338" s="652">
        <f t="shared" si="73"/>
        <v>38407.839999999997</v>
      </c>
      <c r="P338" s="466">
        <f t="shared" si="70"/>
        <v>451641.42999999993</v>
      </c>
    </row>
    <row r="339" spans="1:16" s="554" customFormat="1">
      <c r="A339" s="18"/>
      <c r="B339" s="18"/>
      <c r="C339" s="367"/>
      <c r="D339" s="633">
        <v>0</v>
      </c>
      <c r="E339" s="633">
        <v>0</v>
      </c>
      <c r="F339" s="633">
        <v>0</v>
      </c>
      <c r="G339" s="633">
        <v>0</v>
      </c>
      <c r="H339" s="633">
        <v>0</v>
      </c>
      <c r="I339" s="633">
        <v>0</v>
      </c>
      <c r="J339" s="633">
        <v>0</v>
      </c>
      <c r="K339" s="633">
        <v>0</v>
      </c>
      <c r="L339" s="633">
        <v>0</v>
      </c>
      <c r="M339" s="633">
        <v>0</v>
      </c>
      <c r="N339" s="633">
        <v>0</v>
      </c>
      <c r="O339" s="633">
        <v>0</v>
      </c>
      <c r="P339" s="466">
        <f t="shared" si="70"/>
        <v>0</v>
      </c>
    </row>
    <row r="340" spans="1:16">
      <c r="A340" s="18"/>
      <c r="B340" s="18"/>
      <c r="C340" s="367" t="s">
        <v>358</v>
      </c>
      <c r="D340" s="633">
        <f>D194</f>
        <v>51265295.43</v>
      </c>
      <c r="E340" s="633">
        <f t="shared" ref="E340:O340" si="74">E194</f>
        <v>52037423.18</v>
      </c>
      <c r="F340" s="633">
        <f t="shared" si="74"/>
        <v>58092664.859999999</v>
      </c>
      <c r="G340" s="633">
        <f t="shared" si="74"/>
        <v>53643588.158</v>
      </c>
      <c r="H340" s="633">
        <f t="shared" si="74"/>
        <v>52918387.300000004</v>
      </c>
      <c r="I340" s="633">
        <f t="shared" si="74"/>
        <v>50784060.240999997</v>
      </c>
      <c r="J340" s="633">
        <f t="shared" si="74"/>
        <v>97536235.530000001</v>
      </c>
      <c r="K340" s="633">
        <f t="shared" si="74"/>
        <v>5771303.5499999998</v>
      </c>
      <c r="L340" s="633">
        <f t="shared" si="74"/>
        <v>49753516.079999998</v>
      </c>
      <c r="M340" s="633">
        <f t="shared" si="74"/>
        <v>52769098.908</v>
      </c>
      <c r="N340" s="633">
        <f t="shared" si="74"/>
        <v>50328800.840000004</v>
      </c>
      <c r="O340" s="633">
        <f t="shared" si="74"/>
        <v>51395415.619999997</v>
      </c>
      <c r="P340" s="466">
        <f t="shared" si="70"/>
        <v>626295789.69700003</v>
      </c>
    </row>
    <row r="341" spans="1:16" s="554" customFormat="1">
      <c r="A341" s="18"/>
      <c r="B341" s="18"/>
      <c r="C341" s="367" t="s">
        <v>753</v>
      </c>
      <c r="D341" s="633">
        <f>D209</f>
        <v>36269180</v>
      </c>
      <c r="E341" s="633">
        <f t="shared" ref="E341:O341" si="75">E209</f>
        <v>37568812</v>
      </c>
      <c r="F341" s="633">
        <f t="shared" si="75"/>
        <v>39286006</v>
      </c>
      <c r="G341" s="633">
        <f t="shared" si="75"/>
        <v>36341294</v>
      </c>
      <c r="H341" s="633">
        <f t="shared" si="75"/>
        <v>37705990</v>
      </c>
      <c r="I341" s="633">
        <f t="shared" si="75"/>
        <v>38401122</v>
      </c>
      <c r="J341" s="633">
        <f t="shared" si="75"/>
        <v>37639530</v>
      </c>
      <c r="K341" s="633">
        <f t="shared" si="75"/>
        <v>35055858</v>
      </c>
      <c r="L341" s="633">
        <f t="shared" si="75"/>
        <v>36143840</v>
      </c>
      <c r="M341" s="633">
        <f t="shared" si="75"/>
        <v>30120374</v>
      </c>
      <c r="N341" s="633">
        <f t="shared" si="75"/>
        <v>31359532</v>
      </c>
      <c r="O341" s="633">
        <f t="shared" si="75"/>
        <v>33105658</v>
      </c>
      <c r="P341" s="466">
        <f t="shared" si="70"/>
        <v>428997196</v>
      </c>
    </row>
    <row r="342" spans="1:16">
      <c r="A342" s="18"/>
      <c r="B342" s="18"/>
      <c r="C342" s="367" t="s">
        <v>437</v>
      </c>
      <c r="D342" s="633">
        <f>D221+D235+D249</f>
        <v>19236457.995999999</v>
      </c>
      <c r="E342" s="633">
        <f t="shared" ref="E342:O342" si="76">E221+E235+E249</f>
        <v>23526199.729000002</v>
      </c>
      <c r="F342" s="633">
        <f t="shared" si="76"/>
        <v>25791610.912</v>
      </c>
      <c r="G342" s="633">
        <f t="shared" si="76"/>
        <v>16065641.444</v>
      </c>
      <c r="H342" s="633">
        <f t="shared" si="76"/>
        <v>6381747.6359999999</v>
      </c>
      <c r="I342" s="633">
        <f t="shared" si="76"/>
        <v>5423458.3930199994</v>
      </c>
      <c r="J342" s="633">
        <f t="shared" si="76"/>
        <v>5043071.8881699992</v>
      </c>
      <c r="K342" s="633">
        <f t="shared" si="76"/>
        <v>3774962.5010000006</v>
      </c>
      <c r="L342" s="633">
        <f t="shared" si="76"/>
        <v>5319155.9749999996</v>
      </c>
      <c r="M342" s="633">
        <f t="shared" si="76"/>
        <v>5113750.0029999996</v>
      </c>
      <c r="N342" s="633">
        <f t="shared" si="76"/>
        <v>11924431.708000001</v>
      </c>
      <c r="O342" s="633">
        <f t="shared" si="76"/>
        <v>19880977.276000001</v>
      </c>
      <c r="P342" s="466">
        <f t="shared" si="70"/>
        <v>147481465.46119002</v>
      </c>
    </row>
    <row r="343" spans="1:16">
      <c r="A343" s="18"/>
      <c r="B343" s="18"/>
      <c r="C343" s="367" t="s">
        <v>438</v>
      </c>
      <c r="D343" s="633">
        <f>D258+D267+D285+D276+D294+D313+D303</f>
        <v>1004252.1213300001</v>
      </c>
      <c r="E343" s="633">
        <f t="shared" ref="E343:O343" si="77">E258+E267+E285+E276+E294+E313+E303</f>
        <v>1409064.16447</v>
      </c>
      <c r="F343" s="633">
        <f t="shared" si="77"/>
        <v>1384950.2898499998</v>
      </c>
      <c r="G343" s="633">
        <f t="shared" si="77"/>
        <v>1339881.34775</v>
      </c>
      <c r="H343" s="633">
        <f t="shared" si="77"/>
        <v>1385519.139</v>
      </c>
      <c r="I343" s="633">
        <f t="shared" si="77"/>
        <v>1390554.6694100001</v>
      </c>
      <c r="J343" s="633">
        <f t="shared" si="77"/>
        <v>1457247.4309999999</v>
      </c>
      <c r="K343" s="633">
        <f t="shared" si="77"/>
        <v>1119001.0759999999</v>
      </c>
      <c r="L343" s="633">
        <f t="shared" si="77"/>
        <v>1514288.371</v>
      </c>
      <c r="M343" s="633">
        <f t="shared" si="77"/>
        <v>1242147.7919999999</v>
      </c>
      <c r="N343" s="633">
        <f t="shared" si="77"/>
        <v>1431372.2430000002</v>
      </c>
      <c r="O343" s="633">
        <f t="shared" si="77"/>
        <v>1351141.5129999998</v>
      </c>
      <c r="P343" s="466">
        <f t="shared" si="70"/>
        <v>16029420.157809999</v>
      </c>
    </row>
    <row r="344" spans="1:16">
      <c r="A344" s="18"/>
      <c r="B344" s="18"/>
      <c r="C344" s="367" t="s">
        <v>64</v>
      </c>
      <c r="D344" s="633">
        <f>SUM(D333:D343)</f>
        <v>447109331.25630999</v>
      </c>
      <c r="E344" s="633">
        <f t="shared" ref="E344:N344" si="78">SUM(E333:E343)</f>
        <v>536405068.48246998</v>
      </c>
      <c r="F344" s="633">
        <f t="shared" si="78"/>
        <v>505274530.32284999</v>
      </c>
      <c r="G344" s="633">
        <f t="shared" si="78"/>
        <v>413678088.05175</v>
      </c>
      <c r="H344" s="633">
        <f t="shared" si="78"/>
        <v>454345116.93700004</v>
      </c>
      <c r="I344" s="633">
        <f t="shared" si="78"/>
        <v>593801302.91239989</v>
      </c>
      <c r="J344" s="633">
        <f t="shared" si="78"/>
        <v>654379423.70133996</v>
      </c>
      <c r="K344" s="633">
        <f t="shared" si="78"/>
        <v>430808844.62106991</v>
      </c>
      <c r="L344" s="633">
        <f t="shared" si="78"/>
        <v>574353558.04099011</v>
      </c>
      <c r="M344" s="633">
        <f t="shared" si="78"/>
        <v>432286127.75299996</v>
      </c>
      <c r="N344" s="633">
        <f t="shared" si="78"/>
        <v>439755758.41501009</v>
      </c>
      <c r="O344" s="633">
        <f>SUM(O333:O343)</f>
        <v>433962089.43599004</v>
      </c>
      <c r="P344" s="466">
        <f t="shared" si="70"/>
        <v>5916159239.9301805</v>
      </c>
    </row>
    <row r="345" spans="1:16">
      <c r="A345" s="18"/>
      <c r="B345" s="18"/>
      <c r="C345" s="18"/>
      <c r="D345" s="466"/>
      <c r="E345" s="466"/>
      <c r="F345" s="466"/>
      <c r="G345" s="466"/>
      <c r="H345" s="466"/>
      <c r="I345" s="466"/>
      <c r="J345" s="466"/>
      <c r="K345" s="466"/>
      <c r="L345" s="466"/>
      <c r="M345" s="466"/>
      <c r="N345" s="466"/>
      <c r="O345" s="466"/>
      <c r="P345" s="466"/>
    </row>
    <row r="346" spans="1:16">
      <c r="A346" s="18"/>
      <c r="B346" s="18"/>
      <c r="C346" s="18"/>
      <c r="D346" s="466">
        <f>D326-D344</f>
        <v>0</v>
      </c>
      <c r="E346" s="466">
        <f t="shared" ref="E346:N346" si="79">E326-E344</f>
        <v>0</v>
      </c>
      <c r="F346" s="466">
        <f t="shared" si="79"/>
        <v>0</v>
      </c>
      <c r="G346" s="466">
        <f t="shared" si="79"/>
        <v>0</v>
      </c>
      <c r="H346" s="466">
        <f t="shared" si="79"/>
        <v>0</v>
      </c>
      <c r="I346" s="466">
        <f t="shared" si="79"/>
        <v>0</v>
      </c>
      <c r="J346" s="466">
        <f t="shared" si="79"/>
        <v>0</v>
      </c>
      <c r="K346" s="466">
        <f>K326-K344</f>
        <v>0</v>
      </c>
      <c r="L346" s="466">
        <f>L326-L344</f>
        <v>0</v>
      </c>
      <c r="M346" s="466">
        <f>M326-M344</f>
        <v>0</v>
      </c>
      <c r="N346" s="466">
        <f t="shared" si="79"/>
        <v>0</v>
      </c>
      <c r="O346" s="466">
        <f>O326-O344</f>
        <v>0</v>
      </c>
      <c r="P346" s="466"/>
    </row>
    <row r="348" spans="1:16">
      <c r="A348" s="380" t="s">
        <v>802</v>
      </c>
      <c r="B348" s="489"/>
      <c r="C348" s="489"/>
      <c r="D348" s="489"/>
      <c r="E348" s="489"/>
      <c r="F348" s="489"/>
      <c r="G348" s="489"/>
      <c r="H348" s="489"/>
      <c r="I348" s="489"/>
      <c r="J348" s="489"/>
      <c r="K348" s="489"/>
      <c r="L348" s="489"/>
      <c r="M348" s="489"/>
      <c r="N348" s="489"/>
      <c r="O348" s="489"/>
      <c r="P348" s="489"/>
    </row>
    <row r="349" spans="1:16">
      <c r="A349" s="489"/>
      <c r="B349" s="489"/>
      <c r="C349" s="489"/>
      <c r="D349" s="489"/>
      <c r="E349" s="489"/>
      <c r="F349" s="489"/>
      <c r="G349" s="489"/>
      <c r="H349" s="489"/>
      <c r="I349" s="489"/>
      <c r="J349" s="489"/>
      <c r="K349" s="489"/>
      <c r="L349" s="489"/>
      <c r="M349" s="489"/>
      <c r="N349" s="489"/>
      <c r="O349" s="489"/>
      <c r="P349" s="489"/>
    </row>
    <row r="350" spans="1:16">
      <c r="A350" s="489" t="s">
        <v>431</v>
      </c>
      <c r="B350" s="489"/>
      <c r="C350" s="489"/>
      <c r="D350" s="489"/>
      <c r="E350" s="489"/>
      <c r="F350" s="489"/>
      <c r="G350" s="489"/>
      <c r="H350" s="489"/>
      <c r="I350" s="489"/>
      <c r="J350" s="489"/>
      <c r="K350" s="489"/>
      <c r="L350" s="489"/>
      <c r="M350" s="489"/>
      <c r="N350" s="489"/>
      <c r="O350" s="489"/>
      <c r="P350" s="489"/>
    </row>
    <row r="351" spans="1:16">
      <c r="A351" s="489"/>
      <c r="B351" s="489"/>
      <c r="C351" s="489"/>
      <c r="D351" s="489"/>
      <c r="E351" s="489"/>
      <c r="F351" s="489"/>
      <c r="G351" s="489"/>
      <c r="H351" s="489"/>
      <c r="I351" s="489"/>
      <c r="J351" s="489"/>
      <c r="K351" s="489"/>
      <c r="L351" s="489"/>
      <c r="M351" s="489"/>
      <c r="N351" s="489"/>
      <c r="O351" s="489"/>
      <c r="P351" s="489"/>
    </row>
    <row r="352" spans="1:16">
      <c r="A352" s="489"/>
      <c r="B352" s="489"/>
      <c r="C352" s="489"/>
      <c r="D352" s="489" t="s">
        <v>649</v>
      </c>
      <c r="E352" s="489"/>
      <c r="F352" s="489"/>
      <c r="G352" s="489"/>
      <c r="H352" s="489"/>
      <c r="I352" s="489"/>
      <c r="J352" s="489"/>
      <c r="K352" s="489"/>
      <c r="L352" s="489"/>
      <c r="M352" s="489"/>
      <c r="N352" s="489"/>
      <c r="O352" s="489"/>
      <c r="P352" s="489"/>
    </row>
    <row r="353" spans="1:16">
      <c r="A353" s="489"/>
      <c r="B353" s="489"/>
      <c r="C353" s="489" t="s">
        <v>427</v>
      </c>
      <c r="D353" s="609" t="s">
        <v>789</v>
      </c>
      <c r="E353" s="609" t="s">
        <v>790</v>
      </c>
      <c r="F353" s="609" t="s">
        <v>791</v>
      </c>
      <c r="G353" s="609" t="s">
        <v>792</v>
      </c>
      <c r="H353" s="609" t="s">
        <v>793</v>
      </c>
      <c r="I353" s="609" t="s">
        <v>794</v>
      </c>
      <c r="J353" s="609" t="s">
        <v>795</v>
      </c>
      <c r="K353" s="609" t="s">
        <v>796</v>
      </c>
      <c r="L353" s="609" t="s">
        <v>797</v>
      </c>
      <c r="M353" s="609" t="s">
        <v>798</v>
      </c>
      <c r="N353" s="609" t="s">
        <v>799</v>
      </c>
      <c r="O353" s="609" t="s">
        <v>800</v>
      </c>
      <c r="P353" s="489" t="s">
        <v>430</v>
      </c>
    </row>
    <row r="354" spans="1:16">
      <c r="A354" s="489" t="s">
        <v>432</v>
      </c>
      <c r="B354" s="489" t="s">
        <v>352</v>
      </c>
      <c r="C354" s="489"/>
      <c r="D354" s="489"/>
      <c r="E354" s="489"/>
      <c r="F354" s="489"/>
      <c r="G354" s="489"/>
      <c r="H354" s="489"/>
      <c r="I354" s="489"/>
      <c r="J354" s="489"/>
      <c r="K354" s="489"/>
      <c r="L354" s="489"/>
      <c r="M354" s="489"/>
      <c r="N354" s="489"/>
      <c r="O354" s="489"/>
      <c r="P354" s="489"/>
    </row>
    <row r="355" spans="1:16" ht="13.5" thickBot="1">
      <c r="A355" s="881" t="s">
        <v>139</v>
      </c>
      <c r="B355" s="881" t="s">
        <v>353</v>
      </c>
      <c r="C355" s="542" t="s">
        <v>433</v>
      </c>
      <c r="D355" s="543">
        <v>100104564</v>
      </c>
      <c r="E355" s="543">
        <v>107955234</v>
      </c>
      <c r="F355" s="543">
        <v>67752560</v>
      </c>
      <c r="G355" s="543">
        <v>73438366</v>
      </c>
      <c r="H355" s="543">
        <v>130519840</v>
      </c>
      <c r="I355" s="543">
        <v>149914440</v>
      </c>
      <c r="J355" s="543">
        <v>108038806</v>
      </c>
      <c r="K355" s="543">
        <v>106589143</v>
      </c>
      <c r="L355" s="543">
        <v>65676236</v>
      </c>
      <c r="M355" s="543">
        <v>61659937</v>
      </c>
      <c r="N355" s="543">
        <v>51073278</v>
      </c>
      <c r="O355" s="543">
        <v>54128944</v>
      </c>
      <c r="P355" s="544">
        <f>SUM(D355:O355)</f>
        <v>1076851348</v>
      </c>
    </row>
    <row r="356" spans="1:16" ht="13.5" thickBot="1">
      <c r="A356" s="886"/>
      <c r="B356" s="882"/>
      <c r="C356" s="542" t="s">
        <v>434</v>
      </c>
      <c r="D356" s="543">
        <v>-74383893</v>
      </c>
      <c r="E356" s="543">
        <v>-100104564</v>
      </c>
      <c r="F356" s="543">
        <v>-107955234</v>
      </c>
      <c r="G356" s="543">
        <v>-67752560</v>
      </c>
      <c r="H356" s="543">
        <v>-73438366</v>
      </c>
      <c r="I356" s="543">
        <v>-130519840</v>
      </c>
      <c r="J356" s="543">
        <v>-149914440</v>
      </c>
      <c r="K356" s="543">
        <v>-108038806</v>
      </c>
      <c r="L356" s="543">
        <v>-106589143</v>
      </c>
      <c r="M356" s="543">
        <v>-65676236</v>
      </c>
      <c r="N356" s="543">
        <v>-61659937</v>
      </c>
      <c r="O356" s="543">
        <v>-51073278</v>
      </c>
      <c r="P356" s="544">
        <f t="shared" ref="P356:P394" si="80">SUM(D356:O356)</f>
        <v>-1097106297</v>
      </c>
    </row>
    <row r="357" spans="1:16" s="609" customFormat="1" ht="13.5" thickBot="1">
      <c r="A357" s="886"/>
      <c r="B357" s="611"/>
      <c r="C357" s="612" t="s">
        <v>64</v>
      </c>
      <c r="D357" s="615">
        <v>25720671</v>
      </c>
      <c r="E357" s="615">
        <v>7850670</v>
      </c>
      <c r="F357" s="615">
        <v>-40202674</v>
      </c>
      <c r="G357" s="615">
        <v>5685806</v>
      </c>
      <c r="H357" s="615">
        <v>57081474</v>
      </c>
      <c r="I357" s="615">
        <v>19394600</v>
      </c>
      <c r="J357" s="615">
        <v>-41875634</v>
      </c>
      <c r="K357" s="615">
        <v>-1449663</v>
      </c>
      <c r="L357" s="615">
        <v>-40912907</v>
      </c>
      <c r="M357" s="615">
        <v>-4016299</v>
      </c>
      <c r="N357" s="615">
        <v>-10586659</v>
      </c>
      <c r="O357" s="615">
        <v>3055666</v>
      </c>
      <c r="P357" s="615">
        <f t="shared" si="80"/>
        <v>-20254949</v>
      </c>
    </row>
    <row r="358" spans="1:16" ht="13.5" thickBot="1">
      <c r="A358" s="886"/>
      <c r="B358" s="881" t="s">
        <v>549</v>
      </c>
      <c r="C358" s="542" t="s">
        <v>433</v>
      </c>
      <c r="D358" s="543">
        <v>336275</v>
      </c>
      <c r="E358" s="543">
        <v>344027</v>
      </c>
      <c r="F358" s="543">
        <v>225428</v>
      </c>
      <c r="G358" s="543">
        <v>277745</v>
      </c>
      <c r="H358" s="543">
        <v>619535</v>
      </c>
      <c r="I358" s="543">
        <v>779948</v>
      </c>
      <c r="J358" s="543">
        <v>575043</v>
      </c>
      <c r="K358" s="543">
        <v>613451</v>
      </c>
      <c r="L358" s="543">
        <v>359502</v>
      </c>
      <c r="M358" s="543">
        <v>346258</v>
      </c>
      <c r="N358" s="543">
        <v>233006</v>
      </c>
      <c r="O358" s="543">
        <v>211794</v>
      </c>
      <c r="P358" s="544">
        <f t="shared" si="80"/>
        <v>4922012</v>
      </c>
    </row>
    <row r="359" spans="1:16" ht="13.5" thickBot="1">
      <c r="A359" s="886"/>
      <c r="B359" s="882"/>
      <c r="C359" s="542" t="s">
        <v>434</v>
      </c>
      <c r="D359" s="543">
        <v>-304104</v>
      </c>
      <c r="E359" s="543">
        <v>-336275</v>
      </c>
      <c r="F359" s="543">
        <v>-344027</v>
      </c>
      <c r="G359" s="543">
        <v>-225428</v>
      </c>
      <c r="H359" s="543">
        <v>-277745</v>
      </c>
      <c r="I359" s="543">
        <v>-619535</v>
      </c>
      <c r="J359" s="543">
        <v>-779948</v>
      </c>
      <c r="K359" s="543">
        <v>-575043</v>
      </c>
      <c r="L359" s="543">
        <v>-613451</v>
      </c>
      <c r="M359" s="543">
        <v>-359502</v>
      </c>
      <c r="N359" s="543">
        <v>-346258</v>
      </c>
      <c r="O359" s="543">
        <v>-233006</v>
      </c>
      <c r="P359" s="544">
        <f t="shared" si="80"/>
        <v>-5014322</v>
      </c>
    </row>
    <row r="360" spans="1:16" s="609" customFormat="1" ht="13.5" thickBot="1">
      <c r="A360" s="886"/>
      <c r="B360" s="611"/>
      <c r="C360" s="612" t="s">
        <v>64</v>
      </c>
      <c r="D360" s="615">
        <v>32171</v>
      </c>
      <c r="E360" s="615">
        <v>7752</v>
      </c>
      <c r="F360" s="615">
        <v>-118599</v>
      </c>
      <c r="G360" s="615">
        <v>52317</v>
      </c>
      <c r="H360" s="615">
        <v>341790</v>
      </c>
      <c r="I360" s="615">
        <v>160413</v>
      </c>
      <c r="J360" s="615">
        <v>-204905</v>
      </c>
      <c r="K360" s="615">
        <v>38408</v>
      </c>
      <c r="L360" s="615">
        <v>-253949</v>
      </c>
      <c r="M360" s="615">
        <v>-13244</v>
      </c>
      <c r="N360" s="615">
        <v>-113252</v>
      </c>
      <c r="O360" s="615">
        <v>-21212</v>
      </c>
      <c r="P360" s="615">
        <f t="shared" si="80"/>
        <v>-92310</v>
      </c>
    </row>
    <row r="361" spans="1:16" ht="13.5" thickBot="1">
      <c r="A361" s="886"/>
      <c r="B361" s="881" t="s">
        <v>354</v>
      </c>
      <c r="C361" s="542" t="s">
        <v>433</v>
      </c>
      <c r="D361" s="543">
        <v>26895726</v>
      </c>
      <c r="E361" s="543">
        <v>26596318</v>
      </c>
      <c r="F361" s="543">
        <v>17713052</v>
      </c>
      <c r="G361" s="543">
        <v>21635449</v>
      </c>
      <c r="H361" s="543">
        <v>29801689</v>
      </c>
      <c r="I361" s="543">
        <v>30004600</v>
      </c>
      <c r="J361" s="543">
        <v>17430394</v>
      </c>
      <c r="K361" s="543">
        <v>21832299</v>
      </c>
      <c r="L361" s="543">
        <v>14725313</v>
      </c>
      <c r="M361" s="543">
        <v>14345004</v>
      </c>
      <c r="N361" s="543">
        <v>13892715</v>
      </c>
      <c r="O361" s="543">
        <v>14707631</v>
      </c>
      <c r="P361" s="544">
        <f t="shared" si="80"/>
        <v>249580190</v>
      </c>
    </row>
    <row r="362" spans="1:16" ht="13.5" thickBot="1">
      <c r="A362" s="886"/>
      <c r="B362" s="882"/>
      <c r="C362" s="542" t="s">
        <v>434</v>
      </c>
      <c r="D362" s="543">
        <v>-20678793</v>
      </c>
      <c r="E362" s="543">
        <v>-26895726</v>
      </c>
      <c r="F362" s="543">
        <v>-26596318</v>
      </c>
      <c r="G362" s="543">
        <v>-17713052</v>
      </c>
      <c r="H362" s="543">
        <v>-21635449</v>
      </c>
      <c r="I362" s="543">
        <v>-29801689</v>
      </c>
      <c r="J362" s="543">
        <v>-30004600</v>
      </c>
      <c r="K362" s="543">
        <v>-17430394</v>
      </c>
      <c r="L362" s="543">
        <v>-21832299</v>
      </c>
      <c r="M362" s="543">
        <v>-14725313</v>
      </c>
      <c r="N362" s="543">
        <v>-14345004</v>
      </c>
      <c r="O362" s="543">
        <v>-13892715</v>
      </c>
      <c r="P362" s="544">
        <f t="shared" si="80"/>
        <v>-255551352</v>
      </c>
    </row>
    <row r="363" spans="1:16" s="609" customFormat="1" ht="13.5" thickBot="1">
      <c r="A363" s="886"/>
      <c r="B363" s="611"/>
      <c r="C363" s="612" t="s">
        <v>64</v>
      </c>
      <c r="D363" s="615">
        <v>6216933</v>
      </c>
      <c r="E363" s="615">
        <v>-299408</v>
      </c>
      <c r="F363" s="615">
        <v>-8883266</v>
      </c>
      <c r="G363" s="615">
        <v>3922397</v>
      </c>
      <c r="H363" s="615">
        <v>8166240</v>
      </c>
      <c r="I363" s="615">
        <v>202911</v>
      </c>
      <c r="J363" s="615">
        <v>-12574206</v>
      </c>
      <c r="K363" s="615">
        <v>4401905</v>
      </c>
      <c r="L363" s="615">
        <v>-7106986</v>
      </c>
      <c r="M363" s="615">
        <v>-380309</v>
      </c>
      <c r="N363" s="615">
        <v>-452289</v>
      </c>
      <c r="O363" s="615">
        <v>814916</v>
      </c>
      <c r="P363" s="615">
        <f t="shared" si="80"/>
        <v>-5971162</v>
      </c>
    </row>
    <row r="364" spans="1:16" ht="13.5" thickBot="1">
      <c r="A364" s="886"/>
      <c r="B364" s="881" t="s">
        <v>355</v>
      </c>
      <c r="C364" s="542" t="s">
        <v>433</v>
      </c>
      <c r="D364" s="543">
        <v>2320301</v>
      </c>
      <c r="E364" s="543">
        <v>2229581</v>
      </c>
      <c r="F364" s="543">
        <v>1520151</v>
      </c>
      <c r="G364" s="543">
        <v>1967592</v>
      </c>
      <c r="H364" s="543">
        <v>3371436</v>
      </c>
      <c r="I364" s="543">
        <v>4163723</v>
      </c>
      <c r="J364" s="543">
        <v>3106328</v>
      </c>
      <c r="K364" s="543">
        <v>3140897</v>
      </c>
      <c r="L364" s="543">
        <v>1915650</v>
      </c>
      <c r="M364" s="543">
        <v>1766039</v>
      </c>
      <c r="N364" s="543">
        <v>1475321</v>
      </c>
      <c r="O364" s="543">
        <v>1266091</v>
      </c>
      <c r="P364" s="544">
        <f t="shared" si="80"/>
        <v>28243110</v>
      </c>
    </row>
    <row r="365" spans="1:16" ht="13.5" thickBot="1">
      <c r="A365" s="886"/>
      <c r="B365" s="882"/>
      <c r="C365" s="542" t="s">
        <v>434</v>
      </c>
      <c r="D365" s="543">
        <v>-2000845</v>
      </c>
      <c r="E365" s="543">
        <v>-2320301</v>
      </c>
      <c r="F365" s="543">
        <v>-2229581</v>
      </c>
      <c r="G365" s="543">
        <v>-1520151</v>
      </c>
      <c r="H365" s="543">
        <v>-1967592</v>
      </c>
      <c r="I365" s="543">
        <v>-3371436</v>
      </c>
      <c r="J365" s="543">
        <v>-4163723</v>
      </c>
      <c r="K365" s="543">
        <v>-3106328</v>
      </c>
      <c r="L365" s="543">
        <v>-3140897</v>
      </c>
      <c r="M365" s="543">
        <v>-1915650</v>
      </c>
      <c r="N365" s="543">
        <v>-1766039</v>
      </c>
      <c r="O365" s="543">
        <v>-1475321</v>
      </c>
      <c r="P365" s="544">
        <f t="shared" si="80"/>
        <v>-28977864</v>
      </c>
    </row>
    <row r="366" spans="1:16" s="609" customFormat="1" ht="13.5" thickBot="1">
      <c r="A366" s="886"/>
      <c r="B366" s="611"/>
      <c r="C366" s="612" t="s">
        <v>64</v>
      </c>
      <c r="D366" s="615">
        <v>319456</v>
      </c>
      <c r="E366" s="615">
        <v>-90720</v>
      </c>
      <c r="F366" s="615">
        <v>-709430</v>
      </c>
      <c r="G366" s="615">
        <v>447441</v>
      </c>
      <c r="H366" s="615">
        <v>1403844</v>
      </c>
      <c r="I366" s="615">
        <v>792287</v>
      </c>
      <c r="J366" s="615">
        <v>-1057395</v>
      </c>
      <c r="K366" s="615">
        <v>34569</v>
      </c>
      <c r="L366" s="615">
        <v>-1225247</v>
      </c>
      <c r="M366" s="615">
        <v>-149611</v>
      </c>
      <c r="N366" s="615">
        <v>-290718</v>
      </c>
      <c r="O366" s="615">
        <v>-209230</v>
      </c>
      <c r="P366" s="615">
        <f t="shared" si="80"/>
        <v>-734754</v>
      </c>
    </row>
    <row r="367" spans="1:16" s="554" customFormat="1" ht="13.5" thickBot="1">
      <c r="A367" s="886"/>
      <c r="B367" s="881">
        <v>13</v>
      </c>
      <c r="C367" s="555" t="s">
        <v>433</v>
      </c>
      <c r="D367" s="543">
        <v>0</v>
      </c>
      <c r="E367" s="543">
        <v>0</v>
      </c>
      <c r="F367" s="543">
        <v>0</v>
      </c>
      <c r="G367" s="543">
        <v>0</v>
      </c>
      <c r="H367" s="543">
        <v>0</v>
      </c>
      <c r="I367" s="543">
        <v>0</v>
      </c>
      <c r="J367" s="543">
        <v>0</v>
      </c>
      <c r="K367" s="543">
        <v>0</v>
      </c>
      <c r="L367" s="543">
        <v>0</v>
      </c>
      <c r="M367" s="543">
        <v>0</v>
      </c>
      <c r="N367" s="543">
        <v>0</v>
      </c>
      <c r="O367" s="543">
        <v>0</v>
      </c>
      <c r="P367" s="544">
        <f t="shared" si="80"/>
        <v>0</v>
      </c>
    </row>
    <row r="368" spans="1:16" s="554" customFormat="1" ht="13.5" thickBot="1">
      <c r="A368" s="886"/>
      <c r="B368" s="882"/>
      <c r="C368" s="555" t="s">
        <v>434</v>
      </c>
      <c r="D368" s="543">
        <v>0</v>
      </c>
      <c r="E368" s="543">
        <v>0</v>
      </c>
      <c r="F368" s="543">
        <v>0</v>
      </c>
      <c r="G368" s="543">
        <v>0</v>
      </c>
      <c r="H368" s="543">
        <v>0</v>
      </c>
      <c r="I368" s="543">
        <v>0</v>
      </c>
      <c r="J368" s="543">
        <v>0</v>
      </c>
      <c r="K368" s="543">
        <v>0</v>
      </c>
      <c r="L368" s="543">
        <v>0</v>
      </c>
      <c r="M368" s="543">
        <v>0</v>
      </c>
      <c r="N368" s="543">
        <v>0</v>
      </c>
      <c r="O368" s="543">
        <v>0</v>
      </c>
      <c r="P368" s="544">
        <f t="shared" si="80"/>
        <v>0</v>
      </c>
    </row>
    <row r="369" spans="1:16" s="609" customFormat="1" ht="13.5" thickBot="1">
      <c r="A369" s="886"/>
      <c r="B369" s="613"/>
      <c r="C369" s="612" t="s">
        <v>64</v>
      </c>
      <c r="D369" s="615">
        <v>0</v>
      </c>
      <c r="E369" s="615">
        <v>0</v>
      </c>
      <c r="F369" s="615">
        <v>0</v>
      </c>
      <c r="G369" s="615">
        <v>0</v>
      </c>
      <c r="H369" s="615">
        <v>0</v>
      </c>
      <c r="I369" s="615">
        <v>0</v>
      </c>
      <c r="J369" s="615">
        <v>0</v>
      </c>
      <c r="K369" s="615">
        <v>0</v>
      </c>
      <c r="L369" s="615">
        <v>0</v>
      </c>
      <c r="M369" s="615">
        <v>0</v>
      </c>
      <c r="N369" s="615">
        <v>0</v>
      </c>
      <c r="O369" s="615">
        <v>0</v>
      </c>
      <c r="P369" s="615">
        <f t="shared" si="80"/>
        <v>0</v>
      </c>
    </row>
    <row r="370" spans="1:16" ht="13.5" thickBot="1">
      <c r="A370" s="886"/>
      <c r="B370" s="887" t="s">
        <v>356</v>
      </c>
      <c r="C370" s="542" t="s">
        <v>433</v>
      </c>
      <c r="D370" s="543">
        <v>59722723</v>
      </c>
      <c r="E370" s="543">
        <v>55225014</v>
      </c>
      <c r="F370" s="543">
        <v>37701256</v>
      </c>
      <c r="G370" s="543">
        <v>49961918</v>
      </c>
      <c r="H370" s="543">
        <v>64197637</v>
      </c>
      <c r="I370" s="543">
        <v>57180341</v>
      </c>
      <c r="J370" s="543">
        <v>31240662</v>
      </c>
      <c r="K370" s="543">
        <v>37955796</v>
      </c>
      <c r="L370" s="543">
        <v>28847482</v>
      </c>
      <c r="M370" s="543">
        <v>28604072</v>
      </c>
      <c r="N370" s="543">
        <v>30199523</v>
      </c>
      <c r="O370" s="543">
        <v>33084198</v>
      </c>
      <c r="P370" s="544">
        <f t="shared" si="80"/>
        <v>513920622</v>
      </c>
    </row>
    <row r="371" spans="1:16" ht="13.5" thickBot="1">
      <c r="A371" s="886"/>
      <c r="B371" s="881"/>
      <c r="C371" s="542" t="s">
        <v>434</v>
      </c>
      <c r="D371" s="543">
        <v>-48256894</v>
      </c>
      <c r="E371" s="543">
        <v>-59722723</v>
      </c>
      <c r="F371" s="543">
        <v>-55225014</v>
      </c>
      <c r="G371" s="543">
        <v>-37701256</v>
      </c>
      <c r="H371" s="543">
        <v>-49961918</v>
      </c>
      <c r="I371" s="543">
        <v>-64197637</v>
      </c>
      <c r="J371" s="543">
        <v>-57180341</v>
      </c>
      <c r="K371" s="543">
        <v>-31240662</v>
      </c>
      <c r="L371" s="543">
        <v>-37955796</v>
      </c>
      <c r="M371" s="543">
        <v>-28847482</v>
      </c>
      <c r="N371" s="543">
        <v>-28604072</v>
      </c>
      <c r="O371" s="543">
        <v>-30199523</v>
      </c>
      <c r="P371" s="544">
        <f t="shared" si="80"/>
        <v>-529093318</v>
      </c>
    </row>
    <row r="372" spans="1:16" s="609" customFormat="1" ht="13.5" thickBot="1">
      <c r="A372" s="886"/>
      <c r="B372" s="610"/>
      <c r="C372" s="612" t="s">
        <v>64</v>
      </c>
      <c r="D372" s="615">
        <v>11465829</v>
      </c>
      <c r="E372" s="615">
        <v>-4497709</v>
      </c>
      <c r="F372" s="615">
        <v>-17523758</v>
      </c>
      <c r="G372" s="615">
        <v>12260662</v>
      </c>
      <c r="H372" s="615">
        <v>14235719</v>
      </c>
      <c r="I372" s="615">
        <v>-7017296</v>
      </c>
      <c r="J372" s="615">
        <v>-25939679</v>
      </c>
      <c r="K372" s="615">
        <v>6715134</v>
      </c>
      <c r="L372" s="615">
        <v>-9108314</v>
      </c>
      <c r="M372" s="615">
        <v>-243410</v>
      </c>
      <c r="N372" s="615">
        <v>1595451</v>
      </c>
      <c r="O372" s="615">
        <v>2884675</v>
      </c>
      <c r="P372" s="615">
        <f t="shared" si="80"/>
        <v>-15172696</v>
      </c>
    </row>
    <row r="373" spans="1:16" ht="13.5" thickBot="1">
      <c r="A373" s="886"/>
      <c r="B373" s="881" t="s">
        <v>357</v>
      </c>
      <c r="C373" s="542" t="s">
        <v>433</v>
      </c>
      <c r="D373" s="543">
        <v>1201841</v>
      </c>
      <c r="E373" s="543">
        <v>1203100</v>
      </c>
      <c r="F373" s="543">
        <v>833343</v>
      </c>
      <c r="G373" s="543">
        <v>1010170</v>
      </c>
      <c r="H373" s="543">
        <v>1390715</v>
      </c>
      <c r="I373" s="543">
        <v>1816881</v>
      </c>
      <c r="J373" s="543">
        <v>1321463</v>
      </c>
      <c r="K373" s="543">
        <v>1444083</v>
      </c>
      <c r="L373" s="543">
        <v>757662</v>
      </c>
      <c r="M373" s="543">
        <v>818159</v>
      </c>
      <c r="N373" s="543">
        <v>682663</v>
      </c>
      <c r="O373" s="543">
        <v>672517</v>
      </c>
      <c r="P373" s="544">
        <f t="shared" si="80"/>
        <v>13152597</v>
      </c>
    </row>
    <row r="374" spans="1:16" ht="13.5" thickBot="1">
      <c r="A374" s="886"/>
      <c r="B374" s="882"/>
      <c r="C374" s="542" t="s">
        <v>434</v>
      </c>
      <c r="D374" s="543">
        <v>-974322</v>
      </c>
      <c r="E374" s="543">
        <v>-1201841</v>
      </c>
      <c r="F374" s="543">
        <v>-1203100</v>
      </c>
      <c r="G374" s="543">
        <v>-833343</v>
      </c>
      <c r="H374" s="543">
        <v>-1010170</v>
      </c>
      <c r="I374" s="543">
        <v>-1390715</v>
      </c>
      <c r="J374" s="543">
        <v>-1816881</v>
      </c>
      <c r="K374" s="543">
        <v>-1321463</v>
      </c>
      <c r="L374" s="543">
        <v>-1444083</v>
      </c>
      <c r="M374" s="543">
        <v>-757662</v>
      </c>
      <c r="N374" s="543">
        <v>-818159</v>
      </c>
      <c r="O374" s="543">
        <v>-682663</v>
      </c>
      <c r="P374" s="544">
        <f t="shared" si="80"/>
        <v>-13454402</v>
      </c>
    </row>
    <row r="375" spans="1:16" s="609" customFormat="1" ht="13.5" thickBot="1">
      <c r="A375" s="886"/>
      <c r="B375" s="611"/>
      <c r="C375" s="612" t="s">
        <v>64</v>
      </c>
      <c r="D375" s="615">
        <v>227519</v>
      </c>
      <c r="E375" s="615">
        <v>1259</v>
      </c>
      <c r="F375" s="615">
        <v>-369757</v>
      </c>
      <c r="G375" s="615">
        <v>176827</v>
      </c>
      <c r="H375" s="615">
        <v>380545</v>
      </c>
      <c r="I375" s="615">
        <v>426166</v>
      </c>
      <c r="J375" s="615">
        <v>-495418</v>
      </c>
      <c r="K375" s="615">
        <v>122620</v>
      </c>
      <c r="L375" s="615">
        <v>-686421</v>
      </c>
      <c r="M375" s="615">
        <v>60497</v>
      </c>
      <c r="N375" s="615">
        <v>-135496</v>
      </c>
      <c r="O375" s="615">
        <v>-10146</v>
      </c>
      <c r="P375" s="615">
        <f t="shared" si="80"/>
        <v>-301805</v>
      </c>
    </row>
    <row r="376" spans="1:16" s="554" customFormat="1" ht="13.5" thickBot="1">
      <c r="A376" s="886"/>
      <c r="B376" s="881">
        <v>23</v>
      </c>
      <c r="C376" s="555" t="s">
        <v>433</v>
      </c>
      <c r="D376" s="543">
        <v>0</v>
      </c>
      <c r="E376" s="543">
        <v>0</v>
      </c>
      <c r="F376" s="543">
        <v>0</v>
      </c>
      <c r="G376" s="543">
        <v>0</v>
      </c>
      <c r="H376" s="543">
        <v>0</v>
      </c>
      <c r="I376" s="543">
        <v>0</v>
      </c>
      <c r="J376" s="543">
        <v>0</v>
      </c>
      <c r="K376" s="543">
        <v>0</v>
      </c>
      <c r="L376" s="543">
        <v>0</v>
      </c>
      <c r="M376" s="543">
        <v>0</v>
      </c>
      <c r="N376" s="543">
        <v>0</v>
      </c>
      <c r="O376" s="543">
        <v>0</v>
      </c>
      <c r="P376" s="544">
        <f t="shared" si="80"/>
        <v>0</v>
      </c>
    </row>
    <row r="377" spans="1:16" s="554" customFormat="1" ht="13.5" thickBot="1">
      <c r="A377" s="886"/>
      <c r="B377" s="882"/>
      <c r="C377" s="555" t="s">
        <v>434</v>
      </c>
      <c r="D377" s="543">
        <v>0</v>
      </c>
      <c r="E377" s="543">
        <v>0</v>
      </c>
      <c r="F377" s="543">
        <v>0</v>
      </c>
      <c r="G377" s="543">
        <v>0</v>
      </c>
      <c r="H377" s="543">
        <v>0</v>
      </c>
      <c r="I377" s="543">
        <v>0</v>
      </c>
      <c r="J377" s="543">
        <v>0</v>
      </c>
      <c r="K377" s="543">
        <v>0</v>
      </c>
      <c r="L377" s="543">
        <v>0</v>
      </c>
      <c r="M377" s="543">
        <v>0</v>
      </c>
      <c r="N377" s="543">
        <v>0</v>
      </c>
      <c r="O377" s="543">
        <v>0</v>
      </c>
      <c r="P377" s="544">
        <f t="shared" si="80"/>
        <v>0</v>
      </c>
    </row>
    <row r="378" spans="1:16" s="609" customFormat="1" ht="13.5" thickBot="1">
      <c r="A378" s="886"/>
      <c r="B378" s="613"/>
      <c r="C378" s="612" t="s">
        <v>64</v>
      </c>
      <c r="D378" s="615">
        <v>0</v>
      </c>
      <c r="E378" s="615">
        <v>0</v>
      </c>
      <c r="F378" s="615">
        <v>0</v>
      </c>
      <c r="G378" s="615">
        <v>0</v>
      </c>
      <c r="H378" s="615">
        <v>0</v>
      </c>
      <c r="I378" s="615">
        <v>0</v>
      </c>
      <c r="J378" s="615">
        <v>0</v>
      </c>
      <c r="K378" s="615">
        <v>0</v>
      </c>
      <c r="L378" s="615">
        <v>0</v>
      </c>
      <c r="M378" s="615">
        <v>0</v>
      </c>
      <c r="N378" s="615">
        <v>0</v>
      </c>
      <c r="O378" s="615">
        <v>0</v>
      </c>
      <c r="P378" s="615">
        <f t="shared" si="80"/>
        <v>0</v>
      </c>
    </row>
    <row r="379" spans="1:16" ht="13.5" thickBot="1">
      <c r="A379" s="886"/>
      <c r="B379" s="887" t="s">
        <v>358</v>
      </c>
      <c r="C379" s="542" t="s">
        <v>433</v>
      </c>
      <c r="D379" s="543">
        <v>52372708</v>
      </c>
      <c r="E379" s="543">
        <v>56109089</v>
      </c>
      <c r="F379" s="543">
        <v>55143471</v>
      </c>
      <c r="G379" s="543">
        <v>53140833</v>
      </c>
      <c r="H379" s="543">
        <v>51049441</v>
      </c>
      <c r="I379" s="543">
        <v>48873135</v>
      </c>
      <c r="J379" s="543">
        <v>33456990</v>
      </c>
      <c r="K379" s="543">
        <v>49912722</v>
      </c>
      <c r="L379" s="543">
        <v>53023642</v>
      </c>
      <c r="M379" s="543">
        <v>50432893</v>
      </c>
      <c r="N379" s="543">
        <v>51607236</v>
      </c>
      <c r="O379" s="543">
        <v>52910605</v>
      </c>
      <c r="P379" s="544">
        <f t="shared" si="80"/>
        <v>608032765</v>
      </c>
    </row>
    <row r="380" spans="1:16" ht="13.5" thickBot="1">
      <c r="A380" s="886"/>
      <c r="B380" s="881"/>
      <c r="C380" s="542" t="s">
        <v>434</v>
      </c>
      <c r="D380" s="543">
        <v>-50629514</v>
      </c>
      <c r="E380" s="543">
        <v>-52372708</v>
      </c>
      <c r="F380" s="543">
        <v>-56109089</v>
      </c>
      <c r="G380" s="543">
        <v>-55143471</v>
      </c>
      <c r="H380" s="543">
        <v>-53140833</v>
      </c>
      <c r="I380" s="543">
        <v>-51049441</v>
      </c>
      <c r="J380" s="543">
        <v>-48873135</v>
      </c>
      <c r="K380" s="543">
        <v>-33456990</v>
      </c>
      <c r="L380" s="543">
        <v>-49912722</v>
      </c>
      <c r="M380" s="543">
        <v>-53023642</v>
      </c>
      <c r="N380" s="543">
        <v>-50432893</v>
      </c>
      <c r="O380" s="543">
        <v>-51607236</v>
      </c>
      <c r="P380" s="544">
        <f t="shared" si="80"/>
        <v>-605751674</v>
      </c>
    </row>
    <row r="381" spans="1:16" s="609" customFormat="1" ht="13.5" thickBot="1">
      <c r="A381" s="886"/>
      <c r="B381" s="610"/>
      <c r="C381" s="612" t="s">
        <v>64</v>
      </c>
      <c r="D381" s="615">
        <v>1743194</v>
      </c>
      <c r="E381" s="615">
        <v>3736381</v>
      </c>
      <c r="F381" s="615">
        <v>-965618</v>
      </c>
      <c r="G381" s="615">
        <v>-2002638</v>
      </c>
      <c r="H381" s="615">
        <v>-2091392</v>
      </c>
      <c r="I381" s="615">
        <v>-2176306</v>
      </c>
      <c r="J381" s="615">
        <v>-15416145</v>
      </c>
      <c r="K381" s="615">
        <v>16455732</v>
      </c>
      <c r="L381" s="615">
        <v>3110920</v>
      </c>
      <c r="M381" s="615">
        <v>-2590749</v>
      </c>
      <c r="N381" s="615">
        <v>1174343</v>
      </c>
      <c r="O381" s="615">
        <v>1303369</v>
      </c>
      <c r="P381" s="615">
        <f t="shared" si="80"/>
        <v>2281091</v>
      </c>
    </row>
    <row r="382" spans="1:16" s="554" customFormat="1" ht="13.5" thickBot="1">
      <c r="A382" s="886"/>
      <c r="B382" s="881" t="s">
        <v>759</v>
      </c>
      <c r="C382" s="555" t="s">
        <v>433</v>
      </c>
      <c r="D382" s="543">
        <v>37568812</v>
      </c>
      <c r="E382" s="543">
        <v>39286006</v>
      </c>
      <c r="F382" s="543">
        <v>36341294</v>
      </c>
      <c r="G382" s="543">
        <v>37705990</v>
      </c>
      <c r="H382" s="543">
        <v>38401122</v>
      </c>
      <c r="I382" s="543">
        <v>37639530</v>
      </c>
      <c r="J382" s="543">
        <v>19403087</v>
      </c>
      <c r="K382" s="543">
        <v>36143840</v>
      </c>
      <c r="L382" s="543">
        <v>30120374</v>
      </c>
      <c r="M382" s="543">
        <v>31359532</v>
      </c>
      <c r="N382" s="543">
        <v>33105658</v>
      </c>
      <c r="O382" s="543">
        <v>37060216</v>
      </c>
      <c r="P382" s="544">
        <f>SUM(D382:O382)</f>
        <v>414135461</v>
      </c>
    </row>
    <row r="383" spans="1:16" s="554" customFormat="1" ht="13.5" thickBot="1">
      <c r="A383" s="886"/>
      <c r="B383" s="882"/>
      <c r="C383" s="555" t="s">
        <v>434</v>
      </c>
      <c r="D383" s="543">
        <v>-36269180</v>
      </c>
      <c r="E383" s="543">
        <v>-37568812</v>
      </c>
      <c r="F383" s="543">
        <v>-39286006</v>
      </c>
      <c r="G383" s="543">
        <v>-36341294</v>
      </c>
      <c r="H383" s="543">
        <v>-37705990</v>
      </c>
      <c r="I383" s="543">
        <v>-38401122</v>
      </c>
      <c r="J383" s="543">
        <v>-37639530</v>
      </c>
      <c r="K383" s="543">
        <v>-19403087</v>
      </c>
      <c r="L383" s="543">
        <v>-36143840</v>
      </c>
      <c r="M383" s="543">
        <v>-30120374</v>
      </c>
      <c r="N383" s="543">
        <v>-31359532</v>
      </c>
      <c r="O383" s="543">
        <v>-33105658</v>
      </c>
      <c r="P383" s="544">
        <f>SUM(D383:O383)</f>
        <v>-413344425</v>
      </c>
    </row>
    <row r="384" spans="1:16" s="609" customFormat="1" ht="13.5" thickBot="1">
      <c r="A384" s="886"/>
      <c r="B384" s="613"/>
      <c r="C384" s="612" t="s">
        <v>64</v>
      </c>
      <c r="D384" s="615">
        <v>1299632</v>
      </c>
      <c r="E384" s="615">
        <v>1717194</v>
      </c>
      <c r="F384" s="615">
        <v>-2944712</v>
      </c>
      <c r="G384" s="615">
        <v>1364696</v>
      </c>
      <c r="H384" s="615">
        <v>695132</v>
      </c>
      <c r="I384" s="615">
        <v>-761592</v>
      </c>
      <c r="J384" s="615">
        <v>-18236443</v>
      </c>
      <c r="K384" s="615">
        <v>16740753</v>
      </c>
      <c r="L384" s="615">
        <v>-6023466</v>
      </c>
      <c r="M384" s="615">
        <v>1239158</v>
      </c>
      <c r="N384" s="615">
        <v>1746126</v>
      </c>
      <c r="O384" s="615">
        <v>3954558</v>
      </c>
      <c r="P384" s="615">
        <f t="shared" si="80"/>
        <v>791036</v>
      </c>
    </row>
    <row r="385" spans="1:17" ht="13.5" thickBot="1">
      <c r="A385" s="886"/>
      <c r="B385" s="887" t="s">
        <v>359</v>
      </c>
      <c r="C385" s="542" t="s">
        <v>433</v>
      </c>
      <c r="D385" s="543">
        <v>1135523</v>
      </c>
      <c r="E385" s="543">
        <v>1417894</v>
      </c>
      <c r="F385" s="543">
        <v>1086351</v>
      </c>
      <c r="G385" s="543">
        <v>998049</v>
      </c>
      <c r="H385" s="543">
        <v>1759888</v>
      </c>
      <c r="I385" s="543">
        <v>3150911</v>
      </c>
      <c r="J385" s="543">
        <v>5263821</v>
      </c>
      <c r="K385" s="543">
        <v>5467909</v>
      </c>
      <c r="L385" s="543">
        <v>4983410</v>
      </c>
      <c r="M385" s="543">
        <v>5068248</v>
      </c>
      <c r="N385" s="543">
        <v>3095495</v>
      </c>
      <c r="O385" s="543">
        <v>2319523</v>
      </c>
      <c r="P385" s="544">
        <f t="shared" si="80"/>
        <v>35747022</v>
      </c>
    </row>
    <row r="386" spans="1:17" ht="13.5" thickBot="1">
      <c r="A386" s="886"/>
      <c r="B386" s="881"/>
      <c r="C386" s="542" t="s">
        <v>434</v>
      </c>
      <c r="D386" s="543">
        <v>-2319523</v>
      </c>
      <c r="E386" s="543">
        <v>-1135523</v>
      </c>
      <c r="F386" s="543">
        <v>-1417894</v>
      </c>
      <c r="G386" s="543">
        <v>-1086351</v>
      </c>
      <c r="H386" s="543">
        <v>-998049</v>
      </c>
      <c r="I386" s="543">
        <v>-1759888</v>
      </c>
      <c r="J386" s="543">
        <v>-2991300</v>
      </c>
      <c r="K386" s="543">
        <v>-5263821</v>
      </c>
      <c r="L386" s="543">
        <v>-5467909</v>
      </c>
      <c r="M386" s="543">
        <v>-4983410</v>
      </c>
      <c r="N386" s="543">
        <v>-5068248</v>
      </c>
      <c r="O386" s="543">
        <v>-3095495</v>
      </c>
      <c r="P386" s="544">
        <f t="shared" si="80"/>
        <v>-35587411</v>
      </c>
    </row>
    <row r="387" spans="1:17" s="609" customFormat="1" ht="13.5" thickBot="1">
      <c r="A387" s="886"/>
      <c r="B387" s="610"/>
      <c r="C387" s="612" t="s">
        <v>64</v>
      </c>
      <c r="D387" s="615">
        <v>-1184000</v>
      </c>
      <c r="E387" s="615">
        <v>282371</v>
      </c>
      <c r="F387" s="615">
        <v>-331543</v>
      </c>
      <c r="G387" s="615">
        <v>-88302</v>
      </c>
      <c r="H387" s="615">
        <v>761839</v>
      </c>
      <c r="I387" s="615">
        <v>1391023</v>
      </c>
      <c r="J387" s="615">
        <v>2272521</v>
      </c>
      <c r="K387" s="615">
        <v>204088</v>
      </c>
      <c r="L387" s="615">
        <v>-484499</v>
      </c>
      <c r="M387" s="615">
        <v>84838</v>
      </c>
      <c r="N387" s="615">
        <v>-1972753</v>
      </c>
      <c r="O387" s="615">
        <v>-775972</v>
      </c>
      <c r="P387" s="615">
        <f t="shared" si="80"/>
        <v>159611</v>
      </c>
    </row>
    <row r="388" spans="1:17" ht="13.5" thickBot="1">
      <c r="A388" s="886"/>
      <c r="B388" s="881" t="s">
        <v>360</v>
      </c>
      <c r="C388" s="542" t="s">
        <v>433</v>
      </c>
      <c r="D388" s="543">
        <v>147401</v>
      </c>
      <c r="E388" s="543">
        <v>157888</v>
      </c>
      <c r="F388" s="543">
        <v>91370</v>
      </c>
      <c r="G388" s="543">
        <v>93698</v>
      </c>
      <c r="H388" s="543">
        <v>122670</v>
      </c>
      <c r="I388" s="543">
        <v>203087</v>
      </c>
      <c r="J388" s="543">
        <v>376854</v>
      </c>
      <c r="K388" s="543">
        <v>610737</v>
      </c>
      <c r="L388" s="543">
        <v>328640</v>
      </c>
      <c r="M388" s="543">
        <v>233575</v>
      </c>
      <c r="N388" s="543">
        <v>215391</v>
      </c>
      <c r="O388" s="543">
        <v>194069</v>
      </c>
      <c r="P388" s="544">
        <f t="shared" si="80"/>
        <v>2775380</v>
      </c>
    </row>
    <row r="389" spans="1:17" ht="13.5" thickBot="1">
      <c r="A389" s="886"/>
      <c r="B389" s="882"/>
      <c r="C389" s="542" t="s">
        <v>434</v>
      </c>
      <c r="D389" s="543">
        <v>-194069</v>
      </c>
      <c r="E389" s="543">
        <v>-147401</v>
      </c>
      <c r="F389" s="543">
        <v>-157888</v>
      </c>
      <c r="G389" s="543">
        <v>-91370</v>
      </c>
      <c r="H389" s="543">
        <v>-93698</v>
      </c>
      <c r="I389" s="543">
        <v>-122670</v>
      </c>
      <c r="J389" s="543">
        <v>-220086</v>
      </c>
      <c r="K389" s="543">
        <v>-376854</v>
      </c>
      <c r="L389" s="543">
        <v>-610737</v>
      </c>
      <c r="M389" s="543">
        <v>-328640</v>
      </c>
      <c r="N389" s="543">
        <v>-233575</v>
      </c>
      <c r="O389" s="543">
        <v>-215391</v>
      </c>
      <c r="P389" s="544">
        <f t="shared" si="80"/>
        <v>-2792379</v>
      </c>
    </row>
    <row r="390" spans="1:17" s="609" customFormat="1" ht="13.5" thickBot="1">
      <c r="A390" s="886"/>
      <c r="B390" s="611"/>
      <c r="C390" s="612" t="s">
        <v>64</v>
      </c>
      <c r="D390" s="615">
        <v>-46668</v>
      </c>
      <c r="E390" s="615">
        <v>10487</v>
      </c>
      <c r="F390" s="615">
        <v>-66518</v>
      </c>
      <c r="G390" s="615">
        <v>2328</v>
      </c>
      <c r="H390" s="615">
        <v>28972</v>
      </c>
      <c r="I390" s="615">
        <v>80417</v>
      </c>
      <c r="J390" s="615">
        <v>156768</v>
      </c>
      <c r="K390" s="615">
        <v>233883</v>
      </c>
      <c r="L390" s="615">
        <v>-282097</v>
      </c>
      <c r="M390" s="615">
        <v>-95065</v>
      </c>
      <c r="N390" s="615">
        <v>-18184</v>
      </c>
      <c r="O390" s="615">
        <v>-21322</v>
      </c>
      <c r="P390" s="615">
        <f t="shared" si="80"/>
        <v>-16999</v>
      </c>
    </row>
    <row r="391" spans="1:17" ht="13.5" thickBot="1">
      <c r="A391" s="886"/>
      <c r="B391" s="881" t="s">
        <v>555</v>
      </c>
      <c r="C391" s="542" t="s">
        <v>433</v>
      </c>
      <c r="D391" s="545"/>
      <c r="E391" s="545"/>
      <c r="F391" s="545"/>
      <c r="G391" s="545"/>
      <c r="H391" s="545"/>
      <c r="I391" s="543">
        <v>0</v>
      </c>
      <c r="J391" s="543">
        <v>0</v>
      </c>
      <c r="K391" s="543">
        <v>0</v>
      </c>
      <c r="L391" s="543">
        <v>0</v>
      </c>
      <c r="M391" s="543">
        <v>0</v>
      </c>
      <c r="N391" s="543">
        <v>0</v>
      </c>
      <c r="O391" s="543">
        <v>0</v>
      </c>
      <c r="P391" s="544">
        <f t="shared" si="80"/>
        <v>0</v>
      </c>
    </row>
    <row r="392" spans="1:17" ht="13.5" thickBot="1">
      <c r="A392" s="882"/>
      <c r="B392" s="882"/>
      <c r="C392" s="542" t="s">
        <v>434</v>
      </c>
      <c r="D392" s="545"/>
      <c r="E392" s="545"/>
      <c r="F392" s="545"/>
      <c r="G392" s="545"/>
      <c r="H392" s="545"/>
      <c r="I392" s="545"/>
      <c r="J392" s="543">
        <v>0</v>
      </c>
      <c r="K392" s="543">
        <v>0</v>
      </c>
      <c r="L392" s="543">
        <v>0</v>
      </c>
      <c r="M392" s="543">
        <v>0</v>
      </c>
      <c r="N392" s="543">
        <v>0</v>
      </c>
      <c r="O392" s="543">
        <v>0</v>
      </c>
      <c r="P392" s="544">
        <f t="shared" si="80"/>
        <v>0</v>
      </c>
    </row>
    <row r="393" spans="1:17" s="609" customFormat="1" ht="13.5" thickBot="1">
      <c r="A393" s="616"/>
      <c r="B393" s="611"/>
      <c r="C393" s="612" t="s">
        <v>64</v>
      </c>
      <c r="D393" s="615">
        <v>0</v>
      </c>
      <c r="E393" s="615">
        <v>0</v>
      </c>
      <c r="F393" s="615">
        <v>0</v>
      </c>
      <c r="G393" s="615">
        <v>0</v>
      </c>
      <c r="H393" s="615">
        <v>0</v>
      </c>
      <c r="I393" s="615">
        <v>0</v>
      </c>
      <c r="J393" s="615">
        <v>0</v>
      </c>
      <c r="K393" s="615">
        <v>0</v>
      </c>
      <c r="L393" s="615">
        <v>0</v>
      </c>
      <c r="M393" s="615">
        <v>0</v>
      </c>
      <c r="N393" s="615">
        <v>0</v>
      </c>
      <c r="O393" s="615">
        <v>0</v>
      </c>
      <c r="P393" s="615">
        <f t="shared" si="80"/>
        <v>0</v>
      </c>
    </row>
    <row r="394" spans="1:17" ht="13.5" thickBot="1">
      <c r="A394" s="883" t="s">
        <v>64</v>
      </c>
      <c r="B394" s="884"/>
      <c r="C394" s="885"/>
      <c r="D394" s="617">
        <f>D357+D360+D363+D366+D369+D372+D375+D378+D381+D384+D387+D390+D393</f>
        <v>45794737</v>
      </c>
      <c r="E394" s="617">
        <f t="shared" ref="E394:O394" si="81">E357+E360+E363+E366+E369+E372+E375+E378+E381+E384+E387+E390+E393</f>
        <v>8718277</v>
      </c>
      <c r="F394" s="617">
        <f t="shared" si="81"/>
        <v>-72115875</v>
      </c>
      <c r="G394" s="617">
        <f t="shared" si="81"/>
        <v>21821534</v>
      </c>
      <c r="H394" s="617">
        <f t="shared" si="81"/>
        <v>81004163</v>
      </c>
      <c r="I394" s="617">
        <f t="shared" si="81"/>
        <v>12492623</v>
      </c>
      <c r="J394" s="617">
        <f t="shared" si="81"/>
        <v>-113370536</v>
      </c>
      <c r="K394" s="617">
        <f t="shared" si="81"/>
        <v>43497429</v>
      </c>
      <c r="L394" s="617">
        <f t="shared" si="81"/>
        <v>-62972966</v>
      </c>
      <c r="M394" s="617">
        <f t="shared" si="81"/>
        <v>-6104194</v>
      </c>
      <c r="N394" s="617">
        <f t="shared" si="81"/>
        <v>-9053431</v>
      </c>
      <c r="O394" s="617">
        <f t="shared" si="81"/>
        <v>10975302</v>
      </c>
      <c r="P394" s="617">
        <f t="shared" si="80"/>
        <v>-39312937</v>
      </c>
    </row>
    <row r="397" spans="1:17">
      <c r="C397" s="366" t="s">
        <v>568</v>
      </c>
      <c r="D397" s="369">
        <f>SUM(D355:D356,D358:D359)</f>
        <v>25752842</v>
      </c>
      <c r="E397" s="369">
        <f t="shared" ref="E397:O397" si="82">SUM(E355:E356,E358:E359)</f>
        <v>7858422</v>
      </c>
      <c r="F397" s="369">
        <f t="shared" si="82"/>
        <v>-40321273</v>
      </c>
      <c r="G397" s="369">
        <f t="shared" si="82"/>
        <v>5738123</v>
      </c>
      <c r="H397" s="369">
        <f t="shared" si="82"/>
        <v>57423264</v>
      </c>
      <c r="I397" s="369">
        <f t="shared" si="82"/>
        <v>19555013</v>
      </c>
      <c r="J397" s="369">
        <f t="shared" si="82"/>
        <v>-42080539</v>
      </c>
      <c r="K397" s="369">
        <f t="shared" si="82"/>
        <v>-1411255</v>
      </c>
      <c r="L397" s="369">
        <f t="shared" si="82"/>
        <v>-41166856</v>
      </c>
      <c r="M397" s="369">
        <f t="shared" si="82"/>
        <v>-4029543</v>
      </c>
      <c r="N397" s="369">
        <f t="shared" si="82"/>
        <v>-10699911</v>
      </c>
      <c r="O397" s="369">
        <f t="shared" si="82"/>
        <v>3034454</v>
      </c>
      <c r="P397" s="369">
        <f>SUM(D397:O397)</f>
        <v>-20347259</v>
      </c>
    </row>
    <row r="398" spans="1:17">
      <c r="C398" s="366" t="s">
        <v>435</v>
      </c>
      <c r="D398" s="369">
        <f>SUM(D361:D362,D364:D365,D367:D368)-D399</f>
        <v>6536389</v>
      </c>
      <c r="E398" s="369">
        <f t="shared" ref="E398:O398" si="83">SUM(E361:E362,E364:E365,E367:E368)-E399</f>
        <v>-390128</v>
      </c>
      <c r="F398" s="369">
        <f t="shared" si="83"/>
        <v>-9592696</v>
      </c>
      <c r="G398" s="369">
        <f t="shared" si="83"/>
        <v>4369838</v>
      </c>
      <c r="H398" s="369">
        <f t="shared" si="83"/>
        <v>9570084</v>
      </c>
      <c r="I398" s="369">
        <f t="shared" si="83"/>
        <v>995198</v>
      </c>
      <c r="J398" s="369">
        <f t="shared" si="83"/>
        <v>-13631601</v>
      </c>
      <c r="K398" s="369">
        <f t="shared" si="83"/>
        <v>4436474</v>
      </c>
      <c r="L398" s="369">
        <f t="shared" si="83"/>
        <v>-8332233</v>
      </c>
      <c r="M398" s="369">
        <f t="shared" si="83"/>
        <v>-529920</v>
      </c>
      <c r="N398" s="369">
        <f t="shared" si="83"/>
        <v>-743007</v>
      </c>
      <c r="O398" s="369">
        <f t="shared" si="83"/>
        <v>605686</v>
      </c>
      <c r="P398" s="369">
        <f t="shared" ref="P398:P404" si="84">SUM(D398:O398)</f>
        <v>-6705916</v>
      </c>
      <c r="Q398" s="509"/>
    </row>
    <row r="399" spans="1:17" s="554" customFormat="1">
      <c r="C399" s="366">
        <v>13</v>
      </c>
      <c r="D399" s="369">
        <f>SUM(D367:D368)</f>
        <v>0</v>
      </c>
      <c r="E399" s="369">
        <f t="shared" ref="E399:O399" si="85">SUM(E367:E368)</f>
        <v>0</v>
      </c>
      <c r="F399" s="369">
        <f t="shared" si="85"/>
        <v>0</v>
      </c>
      <c r="G399" s="369">
        <f t="shared" si="85"/>
        <v>0</v>
      </c>
      <c r="H399" s="369">
        <f t="shared" si="85"/>
        <v>0</v>
      </c>
      <c r="I399" s="369">
        <f t="shared" si="85"/>
        <v>0</v>
      </c>
      <c r="J399" s="369">
        <f t="shared" si="85"/>
        <v>0</v>
      </c>
      <c r="K399" s="369">
        <f t="shared" si="85"/>
        <v>0</v>
      </c>
      <c r="L399" s="369">
        <f t="shared" si="85"/>
        <v>0</v>
      </c>
      <c r="M399" s="369">
        <f t="shared" si="85"/>
        <v>0</v>
      </c>
      <c r="N399" s="369">
        <f t="shared" si="85"/>
        <v>0</v>
      </c>
      <c r="O399" s="369">
        <f t="shared" si="85"/>
        <v>0</v>
      </c>
      <c r="P399" s="369">
        <f t="shared" si="84"/>
        <v>0</v>
      </c>
    </row>
    <row r="400" spans="1:17">
      <c r="C400" s="366" t="s">
        <v>436</v>
      </c>
      <c r="D400" s="369">
        <f>SUM(D370:D371,D373:D374,D376:D377)-D401</f>
        <v>11693348</v>
      </c>
      <c r="E400" s="369">
        <f t="shared" ref="E400:O400" si="86">SUM(E370:E371,E373:E374,E376:E377)-E401</f>
        <v>-4496450</v>
      </c>
      <c r="F400" s="369">
        <f t="shared" si="86"/>
        <v>-17893515</v>
      </c>
      <c r="G400" s="369">
        <f t="shared" si="86"/>
        <v>12437489</v>
      </c>
      <c r="H400" s="369">
        <f t="shared" si="86"/>
        <v>14616264</v>
      </c>
      <c r="I400" s="369">
        <f t="shared" si="86"/>
        <v>-6591130</v>
      </c>
      <c r="J400" s="369">
        <f t="shared" si="86"/>
        <v>-26435097</v>
      </c>
      <c r="K400" s="369">
        <f t="shared" si="86"/>
        <v>6837754</v>
      </c>
      <c r="L400" s="369">
        <f t="shared" si="86"/>
        <v>-9794735</v>
      </c>
      <c r="M400" s="369">
        <f t="shared" si="86"/>
        <v>-182913</v>
      </c>
      <c r="N400" s="369">
        <f t="shared" si="86"/>
        <v>1459955</v>
      </c>
      <c r="O400" s="369">
        <f t="shared" si="86"/>
        <v>2874529</v>
      </c>
      <c r="P400" s="369">
        <f t="shared" si="84"/>
        <v>-15474501</v>
      </c>
      <c r="Q400" s="509"/>
    </row>
    <row r="401" spans="3:17" s="554" customFormat="1">
      <c r="C401" s="366">
        <v>23</v>
      </c>
      <c r="D401" s="369">
        <f>SUM(D376:D377)</f>
        <v>0</v>
      </c>
      <c r="E401" s="369">
        <f t="shared" ref="E401:O401" si="87">SUM(E376:E377)</f>
        <v>0</v>
      </c>
      <c r="F401" s="369">
        <f t="shared" si="87"/>
        <v>0</v>
      </c>
      <c r="G401" s="369">
        <f t="shared" si="87"/>
        <v>0</v>
      </c>
      <c r="H401" s="369">
        <f t="shared" si="87"/>
        <v>0</v>
      </c>
      <c r="I401" s="369">
        <f t="shared" si="87"/>
        <v>0</v>
      </c>
      <c r="J401" s="369">
        <f t="shared" si="87"/>
        <v>0</v>
      </c>
      <c r="K401" s="369">
        <f t="shared" si="87"/>
        <v>0</v>
      </c>
      <c r="L401" s="369">
        <f t="shared" si="87"/>
        <v>0</v>
      </c>
      <c r="M401" s="369">
        <f t="shared" si="87"/>
        <v>0</v>
      </c>
      <c r="N401" s="369">
        <f t="shared" si="87"/>
        <v>0</v>
      </c>
      <c r="O401" s="369">
        <f t="shared" si="87"/>
        <v>0</v>
      </c>
      <c r="P401" s="369">
        <f t="shared" si="84"/>
        <v>0</v>
      </c>
    </row>
    <row r="402" spans="3:17">
      <c r="C402" s="366" t="s">
        <v>358</v>
      </c>
      <c r="D402" s="369">
        <f>SUM(D379:D380)</f>
        <v>1743194</v>
      </c>
      <c r="E402" s="369">
        <f t="shared" ref="E402:O402" si="88">SUM(E379:E380)</f>
        <v>3736381</v>
      </c>
      <c r="F402" s="369">
        <f t="shared" si="88"/>
        <v>-965618</v>
      </c>
      <c r="G402" s="369">
        <f t="shared" si="88"/>
        <v>-2002638</v>
      </c>
      <c r="H402" s="369">
        <f t="shared" si="88"/>
        <v>-2091392</v>
      </c>
      <c r="I402" s="369">
        <f t="shared" si="88"/>
        <v>-2176306</v>
      </c>
      <c r="J402" s="369">
        <f t="shared" si="88"/>
        <v>-15416145</v>
      </c>
      <c r="K402" s="369">
        <f t="shared" si="88"/>
        <v>16455732</v>
      </c>
      <c r="L402" s="369">
        <f t="shared" si="88"/>
        <v>3110920</v>
      </c>
      <c r="M402" s="369">
        <f t="shared" si="88"/>
        <v>-2590749</v>
      </c>
      <c r="N402" s="369">
        <f t="shared" si="88"/>
        <v>1174343</v>
      </c>
      <c r="O402" s="369">
        <f t="shared" si="88"/>
        <v>1303369</v>
      </c>
      <c r="P402" s="369">
        <f t="shared" si="84"/>
        <v>2281091</v>
      </c>
      <c r="Q402" s="509"/>
    </row>
    <row r="403" spans="3:17" s="554" customFormat="1">
      <c r="C403" s="366" t="s">
        <v>753</v>
      </c>
      <c r="D403" s="369">
        <f>SUM(D382:D383)</f>
        <v>1299632</v>
      </c>
      <c r="E403" s="369">
        <f t="shared" ref="E403:O403" si="89">SUM(E382:E383)</f>
        <v>1717194</v>
      </c>
      <c r="F403" s="369">
        <f t="shared" si="89"/>
        <v>-2944712</v>
      </c>
      <c r="G403" s="369">
        <f t="shared" si="89"/>
        <v>1364696</v>
      </c>
      <c r="H403" s="369">
        <f t="shared" si="89"/>
        <v>695132</v>
      </c>
      <c r="I403" s="369">
        <f t="shared" si="89"/>
        <v>-761592</v>
      </c>
      <c r="J403" s="369">
        <f t="shared" si="89"/>
        <v>-18236443</v>
      </c>
      <c r="K403" s="369">
        <f t="shared" si="89"/>
        <v>16740753</v>
      </c>
      <c r="L403" s="369">
        <f t="shared" si="89"/>
        <v>-6023466</v>
      </c>
      <c r="M403" s="369">
        <f t="shared" si="89"/>
        <v>1239158</v>
      </c>
      <c r="N403" s="369">
        <f t="shared" si="89"/>
        <v>1746126</v>
      </c>
      <c r="O403" s="369">
        <f t="shared" si="89"/>
        <v>3954558</v>
      </c>
      <c r="P403" s="369">
        <f>SUM(D403:O403)</f>
        <v>791036</v>
      </c>
    </row>
    <row r="404" spans="3:17">
      <c r="C404" s="366" t="s">
        <v>437</v>
      </c>
      <c r="D404" s="369">
        <f>SUM(D385:D386,D388:D389,D391:D392)</f>
        <v>-1230668</v>
      </c>
      <c r="E404" s="369">
        <f t="shared" ref="E404:O404" si="90">SUM(E385:E386,E388:E389,E391:E392)</f>
        <v>292858</v>
      </c>
      <c r="F404" s="369">
        <f t="shared" si="90"/>
        <v>-398061</v>
      </c>
      <c r="G404" s="369">
        <f t="shared" si="90"/>
        <v>-85974</v>
      </c>
      <c r="H404" s="369">
        <f t="shared" si="90"/>
        <v>790811</v>
      </c>
      <c r="I404" s="369">
        <f t="shared" si="90"/>
        <v>1471440</v>
      </c>
      <c r="J404" s="369">
        <f t="shared" si="90"/>
        <v>2429289</v>
      </c>
      <c r="K404" s="369">
        <f t="shared" si="90"/>
        <v>437971</v>
      </c>
      <c r="L404" s="369">
        <f t="shared" si="90"/>
        <v>-766596</v>
      </c>
      <c r="M404" s="369">
        <f t="shared" si="90"/>
        <v>-10227</v>
      </c>
      <c r="N404" s="369">
        <f t="shared" si="90"/>
        <v>-1990937</v>
      </c>
      <c r="O404" s="369">
        <f t="shared" si="90"/>
        <v>-797294</v>
      </c>
      <c r="P404" s="369">
        <f t="shared" si="84"/>
        <v>142612</v>
      </c>
      <c r="Q404" s="509"/>
    </row>
    <row r="405" spans="3:17">
      <c r="D405" s="422">
        <f>SUM(D397:D404)</f>
        <v>45794737</v>
      </c>
      <c r="E405" s="422">
        <f>SUM(E397:E404)</f>
        <v>8718277</v>
      </c>
      <c r="F405" s="422">
        <f t="shared" ref="F405:O405" si="91">SUM(F397:F404)</f>
        <v>-72115875</v>
      </c>
      <c r="G405" s="422">
        <f t="shared" si="91"/>
        <v>21821534</v>
      </c>
      <c r="H405" s="422">
        <f t="shared" si="91"/>
        <v>81004163</v>
      </c>
      <c r="I405" s="422">
        <f t="shared" si="91"/>
        <v>12492623</v>
      </c>
      <c r="J405" s="422">
        <f t="shared" si="91"/>
        <v>-113370536</v>
      </c>
      <c r="K405" s="422">
        <f t="shared" si="91"/>
        <v>43497429</v>
      </c>
      <c r="L405" s="422">
        <f t="shared" si="91"/>
        <v>-62972966</v>
      </c>
      <c r="M405" s="422">
        <f t="shared" si="91"/>
        <v>-6104194</v>
      </c>
      <c r="N405" s="422">
        <f t="shared" si="91"/>
        <v>-9053431</v>
      </c>
      <c r="O405" s="422">
        <f t="shared" si="91"/>
        <v>10975302</v>
      </c>
      <c r="P405" s="369">
        <f>SUM(D405:O405)</f>
        <v>-39312937</v>
      </c>
    </row>
    <row r="406" spans="3:17">
      <c r="D406" s="422">
        <f>D394-D405</f>
        <v>0</v>
      </c>
      <c r="E406" s="422">
        <f>E394-E405</f>
        <v>0</v>
      </c>
      <c r="F406" s="422">
        <f t="shared" ref="F406:O406" si="92">F394-F405</f>
        <v>0</v>
      </c>
      <c r="G406" s="422">
        <f t="shared" si="92"/>
        <v>0</v>
      </c>
      <c r="H406" s="422">
        <f t="shared" si="92"/>
        <v>0</v>
      </c>
      <c r="I406" s="422">
        <f t="shared" si="92"/>
        <v>0</v>
      </c>
      <c r="J406" s="422">
        <f t="shared" si="92"/>
        <v>0</v>
      </c>
      <c r="K406" s="422">
        <f t="shared" si="92"/>
        <v>0</v>
      </c>
      <c r="L406" s="422">
        <f t="shared" si="92"/>
        <v>0</v>
      </c>
      <c r="M406" s="422">
        <f t="shared" si="92"/>
        <v>0</v>
      </c>
      <c r="N406" s="422">
        <f t="shared" si="92"/>
        <v>0</v>
      </c>
      <c r="O406" s="422">
        <f t="shared" si="92"/>
        <v>0</v>
      </c>
      <c r="P406" s="369">
        <f>SUM(P397:P404)</f>
        <v>-39312937</v>
      </c>
      <c r="Q406" s="367" t="s">
        <v>64</v>
      </c>
    </row>
    <row r="407" spans="3:17">
      <c r="O407" s="369"/>
      <c r="P407" s="369"/>
    </row>
    <row r="408" spans="3:17">
      <c r="O408" s="369"/>
      <c r="P408" s="369">
        <f>P406-P394</f>
        <v>0</v>
      </c>
    </row>
    <row r="417" spans="1:17">
      <c r="A417" s="494" t="s">
        <v>801</v>
      </c>
      <c r="B417" s="18"/>
      <c r="C417" s="18"/>
      <c r="D417" s="18"/>
      <c r="E417" s="18"/>
      <c r="F417" s="18"/>
      <c r="G417" s="18"/>
      <c r="H417" s="18"/>
      <c r="I417" s="18"/>
      <c r="J417" s="18"/>
      <c r="K417" s="18"/>
      <c r="L417" s="18"/>
      <c r="M417" s="18"/>
      <c r="N417" s="18"/>
      <c r="O417" s="18"/>
      <c r="P417" s="18"/>
    </row>
    <row r="418" spans="1:17">
      <c r="A418" s="18"/>
      <c r="B418" s="18"/>
      <c r="C418" s="18"/>
      <c r="D418" s="18"/>
      <c r="E418" s="18"/>
      <c r="F418" s="18"/>
      <c r="G418" s="18"/>
      <c r="H418" s="18"/>
      <c r="I418" s="18"/>
      <c r="J418" s="18"/>
      <c r="K418" s="18"/>
      <c r="L418" s="18"/>
      <c r="M418" s="18"/>
      <c r="N418" s="18"/>
      <c r="O418" s="18"/>
      <c r="P418" s="18"/>
    </row>
    <row r="419" spans="1:17">
      <c r="A419" s="18" t="s">
        <v>426</v>
      </c>
      <c r="B419" s="18"/>
      <c r="C419" s="18"/>
      <c r="D419" s="18"/>
      <c r="E419" s="18"/>
      <c r="F419" s="18"/>
      <c r="G419" s="18"/>
      <c r="H419" s="18"/>
      <c r="I419" s="18"/>
      <c r="J419" s="18"/>
      <c r="K419" s="18"/>
      <c r="L419" s="18"/>
      <c r="M419" s="18"/>
      <c r="N419" s="18"/>
      <c r="O419" s="18"/>
      <c r="P419" s="18"/>
    </row>
    <row r="420" spans="1:17">
      <c r="A420" s="18"/>
      <c r="B420" s="18"/>
      <c r="C420" s="18"/>
      <c r="D420" s="18"/>
      <c r="E420" s="18"/>
      <c r="F420" s="18"/>
      <c r="G420" s="18"/>
      <c r="H420" s="18"/>
      <c r="I420" s="18"/>
      <c r="J420" s="18"/>
      <c r="K420" s="18"/>
      <c r="L420" s="18"/>
      <c r="M420" s="18"/>
      <c r="N420" s="18"/>
      <c r="O420" s="18"/>
      <c r="P420" s="18"/>
    </row>
    <row r="421" spans="1:17">
      <c r="A421" s="18"/>
      <c r="B421" s="18"/>
      <c r="C421" s="18"/>
      <c r="D421" s="18" t="s">
        <v>591</v>
      </c>
      <c r="E421" s="18"/>
      <c r="F421" s="18"/>
      <c r="G421" s="18"/>
      <c r="H421" s="18"/>
      <c r="I421" s="18"/>
      <c r="J421" s="18"/>
      <c r="K421" s="18"/>
      <c r="L421" s="18"/>
      <c r="M421" s="18"/>
      <c r="N421" s="18"/>
      <c r="O421" s="18"/>
      <c r="P421" s="18"/>
    </row>
    <row r="422" spans="1:17">
      <c r="A422" s="18"/>
      <c r="B422" s="18"/>
      <c r="C422" s="18" t="s">
        <v>427</v>
      </c>
      <c r="D422" s="18" t="s">
        <v>789</v>
      </c>
      <c r="E422" s="18" t="s">
        <v>790</v>
      </c>
      <c r="F422" s="18" t="s">
        <v>791</v>
      </c>
      <c r="G422" s="18" t="s">
        <v>792</v>
      </c>
      <c r="H422" s="18" t="s">
        <v>793</v>
      </c>
      <c r="I422" s="18" t="s">
        <v>794</v>
      </c>
      <c r="J422" s="18" t="s">
        <v>795</v>
      </c>
      <c r="K422" s="18" t="s">
        <v>796</v>
      </c>
      <c r="L422" s="18" t="s">
        <v>797</v>
      </c>
      <c r="M422" s="18" t="s">
        <v>798</v>
      </c>
      <c r="N422" s="18" t="s">
        <v>799</v>
      </c>
      <c r="O422" s="18" t="s">
        <v>800</v>
      </c>
      <c r="P422" s="18" t="s">
        <v>430</v>
      </c>
    </row>
    <row r="423" spans="1:17">
      <c r="A423" s="18"/>
      <c r="B423" s="18"/>
      <c r="C423" s="18"/>
      <c r="D423" s="18"/>
      <c r="E423" s="18"/>
      <c r="F423" s="18"/>
      <c r="G423" s="18"/>
      <c r="H423" s="18"/>
      <c r="I423" s="18"/>
      <c r="J423" s="18"/>
      <c r="K423" s="18"/>
      <c r="L423" s="18"/>
      <c r="M423" s="18"/>
      <c r="N423" s="18"/>
      <c r="O423" s="18"/>
      <c r="P423" s="18"/>
    </row>
    <row r="424" spans="1:17">
      <c r="A424" s="18" t="s">
        <v>714</v>
      </c>
      <c r="B424" s="18"/>
      <c r="C424" s="18"/>
      <c r="D424" s="18"/>
      <c r="E424" s="18"/>
      <c r="F424" s="18"/>
      <c r="G424" s="18"/>
      <c r="H424" s="18"/>
      <c r="I424" s="18"/>
      <c r="J424" s="18"/>
      <c r="K424" s="18"/>
      <c r="L424" s="18"/>
      <c r="M424" s="18"/>
      <c r="N424" s="18"/>
      <c r="O424" s="18"/>
      <c r="P424" s="18"/>
      <c r="Q424" s="541"/>
    </row>
    <row r="425" spans="1:17">
      <c r="A425" s="18" t="s">
        <v>715</v>
      </c>
      <c r="B425" s="18"/>
      <c r="C425" s="18"/>
      <c r="D425" s="18"/>
      <c r="E425" s="18"/>
      <c r="F425" s="18"/>
      <c r="G425" s="18"/>
      <c r="H425" s="18"/>
      <c r="I425" s="18"/>
      <c r="J425" s="18"/>
      <c r="K425" s="18"/>
      <c r="L425" s="18"/>
      <c r="M425" s="18"/>
      <c r="N425" s="18"/>
      <c r="O425" s="18"/>
      <c r="P425" s="18"/>
      <c r="Q425" s="541"/>
    </row>
    <row r="426" spans="1:17" ht="15">
      <c r="A426" s="18"/>
      <c r="B426" s="18" t="s">
        <v>716</v>
      </c>
      <c r="C426" s="18"/>
      <c r="D426" s="638">
        <v>328986.73</v>
      </c>
      <c r="E426" s="638">
        <v>381853.49</v>
      </c>
      <c r="F426" s="638">
        <v>373390.84</v>
      </c>
      <c r="G426" s="638">
        <v>277948.12</v>
      </c>
      <c r="H426" s="638">
        <v>281683.61</v>
      </c>
      <c r="I426" s="638">
        <v>335052.12</v>
      </c>
      <c r="J426" s="638">
        <v>344356.09</v>
      </c>
      <c r="K426" s="638">
        <v>291661.34000000003</v>
      </c>
      <c r="L426" s="638">
        <v>388852.03</v>
      </c>
      <c r="M426" s="638">
        <v>287065.17</v>
      </c>
      <c r="N426" s="638">
        <v>367389.81</v>
      </c>
      <c r="O426" s="638">
        <v>343035.09</v>
      </c>
      <c r="P426" s="641">
        <f>SUM(D426:O426)</f>
        <v>4001274.44</v>
      </c>
      <c r="Q426" s="636"/>
    </row>
    <row r="427" spans="1:17" ht="15">
      <c r="A427" s="18"/>
      <c r="B427" s="18" t="s">
        <v>717</v>
      </c>
      <c r="C427" s="18"/>
      <c r="D427" s="638">
        <v>0</v>
      </c>
      <c r="E427" s="638">
        <v>0</v>
      </c>
      <c r="F427" s="638">
        <v>0</v>
      </c>
      <c r="G427" s="638">
        <v>0</v>
      </c>
      <c r="H427" s="638">
        <v>0</v>
      </c>
      <c r="I427" s="638">
        <v>0</v>
      </c>
      <c r="J427" s="638">
        <v>0</v>
      </c>
      <c r="K427" s="638">
        <v>0</v>
      </c>
      <c r="L427" s="638">
        <v>0</v>
      </c>
      <c r="M427" s="638">
        <v>0</v>
      </c>
      <c r="N427" s="638">
        <v>0</v>
      </c>
      <c r="O427" s="638">
        <v>0</v>
      </c>
      <c r="P427" s="641">
        <f>SUM(D427:O427)</f>
        <v>0</v>
      </c>
      <c r="Q427" s="380"/>
    </row>
    <row r="428" spans="1:17" ht="15">
      <c r="A428" s="18"/>
      <c r="B428" s="18" t="s">
        <v>718</v>
      </c>
      <c r="C428" s="18"/>
      <c r="D428" s="638">
        <v>7</v>
      </c>
      <c r="E428" s="640">
        <f>D428</f>
        <v>7</v>
      </c>
      <c r="F428" s="640">
        <f t="shared" ref="F428:O429" si="93">E428</f>
        <v>7</v>
      </c>
      <c r="G428" s="640">
        <f t="shared" si="93"/>
        <v>7</v>
      </c>
      <c r="H428" s="640">
        <f t="shared" si="93"/>
        <v>7</v>
      </c>
      <c r="I428" s="638">
        <v>7.5</v>
      </c>
      <c r="J428" s="640">
        <f t="shared" si="93"/>
        <v>7.5</v>
      </c>
      <c r="K428" s="640">
        <f t="shared" si="93"/>
        <v>7.5</v>
      </c>
      <c r="L428" s="640">
        <f t="shared" si="93"/>
        <v>7.5</v>
      </c>
      <c r="M428" s="640">
        <f t="shared" si="93"/>
        <v>7.5</v>
      </c>
      <c r="N428" s="640">
        <f t="shared" si="93"/>
        <v>7.5</v>
      </c>
      <c r="O428" s="640">
        <f t="shared" si="93"/>
        <v>7.5</v>
      </c>
      <c r="P428" s="18"/>
      <c r="Q428" s="380"/>
    </row>
    <row r="429" spans="1:17" ht="15">
      <c r="A429" s="18"/>
      <c r="B429" s="18" t="s">
        <v>719</v>
      </c>
      <c r="C429" s="18"/>
      <c r="D429" s="638">
        <v>0.5</v>
      </c>
      <c r="E429" s="640">
        <f>D429</f>
        <v>0.5</v>
      </c>
      <c r="F429" s="640">
        <f t="shared" si="93"/>
        <v>0.5</v>
      </c>
      <c r="G429" s="640">
        <f t="shared" si="93"/>
        <v>0.5</v>
      </c>
      <c r="H429" s="640">
        <f t="shared" si="93"/>
        <v>0.5</v>
      </c>
      <c r="I429" s="640">
        <f t="shared" si="93"/>
        <v>0.5</v>
      </c>
      <c r="J429" s="640">
        <f t="shared" si="93"/>
        <v>0.5</v>
      </c>
      <c r="K429" s="640">
        <f t="shared" si="93"/>
        <v>0.5</v>
      </c>
      <c r="L429" s="640">
        <f t="shared" si="93"/>
        <v>0.5</v>
      </c>
      <c r="M429" s="640">
        <f t="shared" si="93"/>
        <v>0.5</v>
      </c>
      <c r="N429" s="640">
        <f t="shared" si="93"/>
        <v>0.5</v>
      </c>
      <c r="O429" s="640">
        <f t="shared" si="93"/>
        <v>0.5</v>
      </c>
      <c r="P429" s="18"/>
      <c r="Q429" s="541"/>
    </row>
    <row r="430" spans="1:17">
      <c r="A430" s="18" t="s">
        <v>720</v>
      </c>
      <c r="B430" s="18"/>
      <c r="C430" s="18"/>
      <c r="D430" s="18"/>
      <c r="E430" s="18"/>
      <c r="F430" s="18"/>
      <c r="G430" s="18"/>
      <c r="H430" s="18"/>
      <c r="I430" s="18"/>
      <c r="J430" s="18"/>
      <c r="K430" s="18"/>
      <c r="L430" s="18"/>
      <c r="M430" s="18"/>
      <c r="N430" s="18"/>
      <c r="O430" s="18"/>
      <c r="P430" s="18"/>
      <c r="Q430" s="541"/>
    </row>
    <row r="431" spans="1:17" ht="15">
      <c r="A431" s="18"/>
      <c r="B431" s="18" t="s">
        <v>716</v>
      </c>
      <c r="C431" s="18"/>
      <c r="D431" s="638">
        <v>6676.14</v>
      </c>
      <c r="E431" s="638">
        <v>9066.24</v>
      </c>
      <c r="F431" s="638">
        <v>7975.84</v>
      </c>
      <c r="G431" s="638">
        <v>6879.69</v>
      </c>
      <c r="H431" s="638">
        <v>9592.06</v>
      </c>
      <c r="I431" s="638">
        <v>14942.42</v>
      </c>
      <c r="J431" s="638">
        <v>17061.830000000002</v>
      </c>
      <c r="K431" s="638">
        <v>13187.95</v>
      </c>
      <c r="L431" s="638">
        <v>16380.03</v>
      </c>
      <c r="M431" s="638">
        <v>10670.98</v>
      </c>
      <c r="N431" s="638">
        <v>10520.31</v>
      </c>
      <c r="O431" s="638">
        <v>7328.83</v>
      </c>
      <c r="P431" s="641">
        <f t="shared" ref="P431:P432" si="94">SUM(D431:O431)</f>
        <v>130282.31999999999</v>
      </c>
      <c r="Q431" s="541"/>
    </row>
    <row r="432" spans="1:17" ht="15">
      <c r="A432" s="18"/>
      <c r="B432" s="18" t="s">
        <v>717</v>
      </c>
      <c r="C432" s="18"/>
      <c r="D432" s="638">
        <v>0</v>
      </c>
      <c r="E432" s="638">
        <v>0</v>
      </c>
      <c r="F432" s="638">
        <v>0</v>
      </c>
      <c r="G432" s="638">
        <v>0</v>
      </c>
      <c r="H432" s="638">
        <v>0</v>
      </c>
      <c r="I432" s="638">
        <v>0</v>
      </c>
      <c r="J432" s="638">
        <v>0</v>
      </c>
      <c r="K432" s="638">
        <v>0</v>
      </c>
      <c r="L432" s="638">
        <v>0</v>
      </c>
      <c r="M432" s="638">
        <v>0</v>
      </c>
      <c r="N432" s="638">
        <v>0</v>
      </c>
      <c r="O432" s="638">
        <v>0</v>
      </c>
      <c r="P432" s="641">
        <f t="shared" si="94"/>
        <v>0</v>
      </c>
      <c r="Q432" s="541"/>
    </row>
    <row r="433" spans="1:17" ht="15">
      <c r="A433" s="18"/>
      <c r="B433" s="18" t="s">
        <v>718</v>
      </c>
      <c r="C433" s="18"/>
      <c r="D433" s="638">
        <v>7</v>
      </c>
      <c r="E433" s="640">
        <f>D433</f>
        <v>7</v>
      </c>
      <c r="F433" s="640">
        <f t="shared" ref="F433:O434" si="95">E433</f>
        <v>7</v>
      </c>
      <c r="G433" s="640">
        <f t="shared" si="95"/>
        <v>7</v>
      </c>
      <c r="H433" s="640">
        <f t="shared" si="95"/>
        <v>7</v>
      </c>
      <c r="I433" s="638">
        <v>7.5</v>
      </c>
      <c r="J433" s="640">
        <f t="shared" si="95"/>
        <v>7.5</v>
      </c>
      <c r="K433" s="640">
        <f t="shared" si="95"/>
        <v>7.5</v>
      </c>
      <c r="L433" s="640">
        <f t="shared" si="95"/>
        <v>7.5</v>
      </c>
      <c r="M433" s="640">
        <f t="shared" si="95"/>
        <v>7.5</v>
      </c>
      <c r="N433" s="640">
        <f t="shared" si="95"/>
        <v>7.5</v>
      </c>
      <c r="O433" s="640">
        <f t="shared" si="95"/>
        <v>7.5</v>
      </c>
      <c r="P433" s="18"/>
      <c r="Q433" s="541"/>
    </row>
    <row r="434" spans="1:17" ht="15">
      <c r="A434" s="18"/>
      <c r="B434" s="18" t="s">
        <v>719</v>
      </c>
      <c r="C434" s="18"/>
      <c r="D434" s="638">
        <v>0.5</v>
      </c>
      <c r="E434" s="640">
        <f>D434</f>
        <v>0.5</v>
      </c>
      <c r="F434" s="640">
        <f t="shared" si="95"/>
        <v>0.5</v>
      </c>
      <c r="G434" s="640">
        <f t="shared" si="95"/>
        <v>0.5</v>
      </c>
      <c r="H434" s="640">
        <f t="shared" si="95"/>
        <v>0.5</v>
      </c>
      <c r="I434" s="640">
        <f t="shared" si="95"/>
        <v>0.5</v>
      </c>
      <c r="J434" s="640">
        <f t="shared" si="95"/>
        <v>0.5</v>
      </c>
      <c r="K434" s="640">
        <f t="shared" si="95"/>
        <v>0.5</v>
      </c>
      <c r="L434" s="640">
        <f t="shared" si="95"/>
        <v>0.5</v>
      </c>
      <c r="M434" s="640">
        <f t="shared" si="95"/>
        <v>0.5</v>
      </c>
      <c r="N434" s="640">
        <f t="shared" si="95"/>
        <v>0.5</v>
      </c>
      <c r="O434" s="640">
        <f t="shared" si="95"/>
        <v>0.5</v>
      </c>
      <c r="P434" s="18"/>
      <c r="Q434" s="541"/>
    </row>
    <row r="435" spans="1:17" s="554" customFormat="1">
      <c r="A435" s="18" t="s">
        <v>754</v>
      </c>
      <c r="B435" s="18"/>
      <c r="C435" s="18"/>
      <c r="D435" s="18"/>
      <c r="E435" s="18"/>
      <c r="F435" s="18"/>
      <c r="G435" s="18"/>
      <c r="H435" s="18"/>
      <c r="I435" s="18"/>
      <c r="J435" s="18"/>
      <c r="K435" s="18"/>
      <c r="L435" s="18"/>
      <c r="M435" s="18"/>
      <c r="N435" s="18"/>
      <c r="O435" s="18"/>
      <c r="P435" s="18"/>
    </row>
    <row r="436" spans="1:17" s="554" customFormat="1" ht="15">
      <c r="A436" s="18"/>
      <c r="B436" s="18" t="s">
        <v>716</v>
      </c>
      <c r="C436" s="18"/>
      <c r="D436" s="638">
        <v>0</v>
      </c>
      <c r="E436" s="638">
        <v>0</v>
      </c>
      <c r="F436" s="638">
        <v>0</v>
      </c>
      <c r="G436" s="638">
        <v>0</v>
      </c>
      <c r="H436" s="638">
        <v>0</v>
      </c>
      <c r="I436" s="638">
        <v>0</v>
      </c>
      <c r="J436" s="638">
        <v>0</v>
      </c>
      <c r="K436" s="638">
        <v>0</v>
      </c>
      <c r="L436" s="638">
        <v>0</v>
      </c>
      <c r="M436" s="638">
        <v>0</v>
      </c>
      <c r="N436" s="638">
        <v>0</v>
      </c>
      <c r="O436" s="638">
        <v>0</v>
      </c>
      <c r="P436" s="641">
        <f t="shared" ref="P436:P437" si="96">SUM(D436:O436)</f>
        <v>0</v>
      </c>
    </row>
    <row r="437" spans="1:17" s="554" customFormat="1" ht="15">
      <c r="A437" s="18"/>
      <c r="B437" s="18" t="s">
        <v>717</v>
      </c>
      <c r="C437" s="18"/>
      <c r="D437" s="638">
        <v>0</v>
      </c>
      <c r="E437" s="638">
        <v>0</v>
      </c>
      <c r="F437" s="638">
        <v>0</v>
      </c>
      <c r="G437" s="638">
        <v>0</v>
      </c>
      <c r="H437" s="638">
        <v>0</v>
      </c>
      <c r="I437" s="638">
        <v>0</v>
      </c>
      <c r="J437" s="638">
        <v>0</v>
      </c>
      <c r="K437" s="638">
        <v>0</v>
      </c>
      <c r="L437" s="638">
        <v>0</v>
      </c>
      <c r="M437" s="638">
        <v>0</v>
      </c>
      <c r="N437" s="638">
        <v>0</v>
      </c>
      <c r="O437" s="638">
        <v>0</v>
      </c>
      <c r="P437" s="641">
        <f t="shared" si="96"/>
        <v>0</v>
      </c>
    </row>
    <row r="438" spans="1:17" s="554" customFormat="1" ht="15">
      <c r="A438" s="18"/>
      <c r="B438" s="18" t="s">
        <v>718</v>
      </c>
      <c r="C438" s="18"/>
      <c r="D438" s="638">
        <v>0</v>
      </c>
      <c r="E438" s="640">
        <f>D438</f>
        <v>0</v>
      </c>
      <c r="F438" s="640">
        <f t="shared" ref="F438:F439" si="97">E438</f>
        <v>0</v>
      </c>
      <c r="G438" s="640">
        <f t="shared" ref="G438:G439" si="98">F438</f>
        <v>0</v>
      </c>
      <c r="H438" s="640">
        <f t="shared" ref="H438:H439" si="99">G438</f>
        <v>0</v>
      </c>
      <c r="I438" s="640">
        <f t="shared" ref="I438:I439" si="100">H438</f>
        <v>0</v>
      </c>
      <c r="J438" s="640">
        <f t="shared" ref="J438:J439" si="101">I438</f>
        <v>0</v>
      </c>
      <c r="K438" s="640">
        <f t="shared" ref="K438:K439" si="102">J438</f>
        <v>0</v>
      </c>
      <c r="L438" s="640">
        <f t="shared" ref="L438:L439" si="103">K438</f>
        <v>0</v>
      </c>
      <c r="M438" s="640">
        <f t="shared" ref="M438:M439" si="104">L438</f>
        <v>0</v>
      </c>
      <c r="N438" s="640">
        <f t="shared" ref="N438:N439" si="105">M438</f>
        <v>0</v>
      </c>
      <c r="O438" s="640">
        <f t="shared" ref="O438:O439" si="106">N438</f>
        <v>0</v>
      </c>
      <c r="P438" s="18"/>
    </row>
    <row r="439" spans="1:17" s="554" customFormat="1" ht="15">
      <c r="A439" s="18"/>
      <c r="B439" s="18" t="s">
        <v>719</v>
      </c>
      <c r="C439" s="18"/>
      <c r="D439" s="638">
        <v>0.5</v>
      </c>
      <c r="E439" s="640">
        <f>D439</f>
        <v>0.5</v>
      </c>
      <c r="F439" s="640">
        <f t="shared" si="97"/>
        <v>0.5</v>
      </c>
      <c r="G439" s="640">
        <f t="shared" si="98"/>
        <v>0.5</v>
      </c>
      <c r="H439" s="640">
        <f t="shared" si="99"/>
        <v>0.5</v>
      </c>
      <c r="I439" s="640">
        <f t="shared" si="100"/>
        <v>0.5</v>
      </c>
      <c r="J439" s="640">
        <f t="shared" si="101"/>
        <v>0.5</v>
      </c>
      <c r="K439" s="640">
        <f t="shared" si="102"/>
        <v>0.5</v>
      </c>
      <c r="L439" s="640">
        <f t="shared" si="103"/>
        <v>0.5</v>
      </c>
      <c r="M439" s="640">
        <f t="shared" si="104"/>
        <v>0.5</v>
      </c>
      <c r="N439" s="640">
        <f t="shared" si="105"/>
        <v>0.5</v>
      </c>
      <c r="O439" s="640">
        <f t="shared" si="106"/>
        <v>0.5</v>
      </c>
      <c r="P439" s="18"/>
    </row>
    <row r="440" spans="1:17">
      <c r="A440" s="18" t="s">
        <v>721</v>
      </c>
      <c r="B440" s="18"/>
      <c r="C440" s="18"/>
      <c r="D440" s="18"/>
      <c r="E440" s="18"/>
      <c r="F440" s="18"/>
      <c r="G440" s="18"/>
      <c r="H440" s="18"/>
      <c r="I440" s="18"/>
      <c r="J440" s="18"/>
      <c r="K440" s="18"/>
      <c r="L440" s="18"/>
      <c r="M440" s="18"/>
      <c r="N440" s="18"/>
      <c r="O440" s="18"/>
      <c r="P440" s="18"/>
      <c r="Q440" s="541"/>
    </row>
    <row r="441" spans="1:17" ht="15">
      <c r="A441" s="18"/>
      <c r="B441" s="18" t="s">
        <v>716</v>
      </c>
      <c r="C441" s="18"/>
      <c r="D441" s="642">
        <v>1564555.76</v>
      </c>
      <c r="E441" s="642">
        <v>1684554.11</v>
      </c>
      <c r="F441" s="642">
        <v>1674876.5</v>
      </c>
      <c r="G441" s="642">
        <v>1472137.52</v>
      </c>
      <c r="H441" s="642">
        <v>1381572.03</v>
      </c>
      <c r="I441" s="642">
        <v>1490963.64</v>
      </c>
      <c r="J441" s="642">
        <v>1508200.77</v>
      </c>
      <c r="K441" s="642">
        <v>1134919.3799999999</v>
      </c>
      <c r="L441" s="642">
        <v>1859902.81</v>
      </c>
      <c r="M441" s="642">
        <v>1324199.92</v>
      </c>
      <c r="N441" s="642">
        <v>1749855.98</v>
      </c>
      <c r="O441" s="642">
        <v>1713013.06</v>
      </c>
      <c r="P441" s="641">
        <f t="shared" ref="P441:P442" si="107">SUM(D441:O441)</f>
        <v>18558751.48</v>
      </c>
      <c r="Q441" s="541"/>
    </row>
    <row r="442" spans="1:17" ht="15">
      <c r="A442" s="18"/>
      <c r="B442" s="18" t="s">
        <v>717</v>
      </c>
      <c r="C442" s="18"/>
      <c r="D442" s="638">
        <v>15394.92</v>
      </c>
      <c r="E442" s="638">
        <v>15024.81</v>
      </c>
      <c r="F442" s="638">
        <v>15866.22</v>
      </c>
      <c r="G442" s="638">
        <v>14449.16</v>
      </c>
      <c r="H442" s="638">
        <v>12530.79</v>
      </c>
      <c r="I442" s="638">
        <v>11166.51</v>
      </c>
      <c r="J442" s="638">
        <v>10495.28</v>
      </c>
      <c r="K442" s="638">
        <v>7419.36</v>
      </c>
      <c r="L442" s="638">
        <v>13311.32</v>
      </c>
      <c r="M442" s="638">
        <v>10781.18</v>
      </c>
      <c r="N442" s="638">
        <v>14208.27</v>
      </c>
      <c r="O442" s="638">
        <v>14449.25</v>
      </c>
      <c r="P442" s="641">
        <f t="shared" si="107"/>
        <v>155097.06999999998</v>
      </c>
      <c r="Q442" s="541"/>
    </row>
    <row r="443" spans="1:17" ht="15">
      <c r="A443" s="18"/>
      <c r="B443" s="18" t="s">
        <v>722</v>
      </c>
      <c r="C443" s="18"/>
      <c r="D443" s="638">
        <v>-4824.76</v>
      </c>
      <c r="E443" s="638">
        <v>-5807.44</v>
      </c>
      <c r="F443" s="638">
        <v>-5871.43</v>
      </c>
      <c r="G443" s="638">
        <v>-4687.43</v>
      </c>
      <c r="H443" s="638">
        <v>-5375.86</v>
      </c>
      <c r="I443" s="638">
        <v>-5218.6099999999997</v>
      </c>
      <c r="J443" s="638">
        <v>-4876.6899999999996</v>
      </c>
      <c r="K443" s="638">
        <v>-3781.8</v>
      </c>
      <c r="L443" s="638">
        <v>-5064.6099999999997</v>
      </c>
      <c r="M443" s="638">
        <v>-3661.5</v>
      </c>
      <c r="N443" s="638">
        <v>-4646.78</v>
      </c>
      <c r="O443" s="638">
        <v>-5489.01</v>
      </c>
      <c r="P443" s="641">
        <f>SUM(D443:O443)</f>
        <v>-59305.920000000006</v>
      </c>
      <c r="Q443" s="541"/>
    </row>
    <row r="444" spans="1:17" ht="15">
      <c r="A444" s="18"/>
      <c r="B444" s="18" t="s">
        <v>718</v>
      </c>
      <c r="C444" s="18"/>
      <c r="D444" s="638">
        <v>7</v>
      </c>
      <c r="E444" s="640">
        <f>D444</f>
        <v>7</v>
      </c>
      <c r="F444" s="640">
        <f t="shared" ref="F444:O446" si="108">E444</f>
        <v>7</v>
      </c>
      <c r="G444" s="640">
        <f t="shared" si="108"/>
        <v>7</v>
      </c>
      <c r="H444" s="640">
        <f t="shared" si="108"/>
        <v>7</v>
      </c>
      <c r="I444" s="638">
        <v>7.5</v>
      </c>
      <c r="J444" s="640">
        <f t="shared" si="108"/>
        <v>7.5</v>
      </c>
      <c r="K444" s="640">
        <f t="shared" si="108"/>
        <v>7.5</v>
      </c>
      <c r="L444" s="640">
        <f t="shared" si="108"/>
        <v>7.5</v>
      </c>
      <c r="M444" s="640">
        <f t="shared" si="108"/>
        <v>7.5</v>
      </c>
      <c r="N444" s="640">
        <f t="shared" si="108"/>
        <v>7.5</v>
      </c>
      <c r="O444" s="640">
        <f t="shared" si="108"/>
        <v>7.5</v>
      </c>
      <c r="P444" s="18"/>
      <c r="Q444" s="541"/>
    </row>
    <row r="445" spans="1:17" ht="15">
      <c r="A445" s="18"/>
      <c r="B445" s="18" t="s">
        <v>719</v>
      </c>
      <c r="C445" s="18"/>
      <c r="D445" s="638">
        <v>0.5</v>
      </c>
      <c r="E445" s="640">
        <f>D445</f>
        <v>0.5</v>
      </c>
      <c r="F445" s="640">
        <f t="shared" si="108"/>
        <v>0.5</v>
      </c>
      <c r="G445" s="640">
        <f t="shared" si="108"/>
        <v>0.5</v>
      </c>
      <c r="H445" s="640">
        <f t="shared" si="108"/>
        <v>0.5</v>
      </c>
      <c r="I445" s="640">
        <f t="shared" si="108"/>
        <v>0.5</v>
      </c>
      <c r="J445" s="640">
        <f t="shared" si="108"/>
        <v>0.5</v>
      </c>
      <c r="K445" s="640">
        <f t="shared" si="108"/>
        <v>0.5</v>
      </c>
      <c r="L445" s="640">
        <f t="shared" si="108"/>
        <v>0.5</v>
      </c>
      <c r="M445" s="640">
        <f t="shared" si="108"/>
        <v>0.5</v>
      </c>
      <c r="N445" s="640">
        <f t="shared" si="108"/>
        <v>0.5</v>
      </c>
      <c r="O445" s="640">
        <f t="shared" si="108"/>
        <v>0.5</v>
      </c>
      <c r="P445" s="18"/>
      <c r="Q445" s="541"/>
    </row>
    <row r="446" spans="1:17" ht="15">
      <c r="A446" s="18"/>
      <c r="B446" s="18" t="s">
        <v>723</v>
      </c>
      <c r="C446" s="18"/>
      <c r="D446" s="638">
        <v>-0.2</v>
      </c>
      <c r="E446" s="640">
        <f>D446</f>
        <v>-0.2</v>
      </c>
      <c r="F446" s="640">
        <f t="shared" si="108"/>
        <v>-0.2</v>
      </c>
      <c r="G446" s="640">
        <f t="shared" si="108"/>
        <v>-0.2</v>
      </c>
      <c r="H446" s="640">
        <f t="shared" si="108"/>
        <v>-0.2</v>
      </c>
      <c r="I446" s="640">
        <f t="shared" si="108"/>
        <v>-0.2</v>
      </c>
      <c r="J446" s="640">
        <f t="shared" si="108"/>
        <v>-0.2</v>
      </c>
      <c r="K446" s="640">
        <f t="shared" si="108"/>
        <v>-0.2</v>
      </c>
      <c r="L446" s="640">
        <f t="shared" si="108"/>
        <v>-0.2</v>
      </c>
      <c r="M446" s="640">
        <f t="shared" si="108"/>
        <v>-0.2</v>
      </c>
      <c r="N446" s="640">
        <f t="shared" si="108"/>
        <v>-0.2</v>
      </c>
      <c r="O446" s="640">
        <f t="shared" si="108"/>
        <v>-0.2</v>
      </c>
      <c r="P446" s="18"/>
      <c r="Q446" s="541"/>
    </row>
    <row r="447" spans="1:17">
      <c r="A447" s="18" t="s">
        <v>724</v>
      </c>
      <c r="B447" s="18"/>
      <c r="C447" s="18"/>
      <c r="D447" s="18"/>
      <c r="E447" s="18"/>
      <c r="F447" s="18"/>
      <c r="G447" s="18"/>
      <c r="H447" s="18"/>
      <c r="I447" s="18"/>
      <c r="J447" s="18"/>
      <c r="K447" s="18"/>
      <c r="L447" s="18"/>
      <c r="M447" s="18"/>
      <c r="N447" s="18"/>
      <c r="O447" s="18"/>
      <c r="P447" s="18"/>
      <c r="Q447" s="541"/>
    </row>
    <row r="448" spans="1:17" ht="15">
      <c r="A448" s="18"/>
      <c r="B448" s="18" t="s">
        <v>716</v>
      </c>
      <c r="C448" s="18"/>
      <c r="D448" s="638">
        <v>24227.35</v>
      </c>
      <c r="E448" s="638">
        <v>28168.959999999999</v>
      </c>
      <c r="F448" s="638">
        <v>25096.28</v>
      </c>
      <c r="G448" s="638">
        <v>15622.61</v>
      </c>
      <c r="H448" s="638">
        <v>27786.28</v>
      </c>
      <c r="I448" s="638">
        <v>38668.589999999997</v>
      </c>
      <c r="J448" s="638">
        <v>45708.82</v>
      </c>
      <c r="K448" s="638">
        <v>41998.05</v>
      </c>
      <c r="L448" s="638">
        <v>44341.39</v>
      </c>
      <c r="M448" s="638">
        <v>30541.41</v>
      </c>
      <c r="N448" s="638">
        <v>31169.86</v>
      </c>
      <c r="O448" s="638">
        <v>23736.2</v>
      </c>
      <c r="P448" s="641">
        <f t="shared" ref="P448:P450" si="109">SUM(D448:O448)</f>
        <v>377065.8</v>
      </c>
      <c r="Q448" s="541"/>
    </row>
    <row r="449" spans="1:17" ht="15">
      <c r="A449" s="18"/>
      <c r="B449" s="18" t="s">
        <v>717</v>
      </c>
      <c r="C449" s="18"/>
      <c r="D449" s="638">
        <v>24</v>
      </c>
      <c r="E449" s="638">
        <v>32.75</v>
      </c>
      <c r="F449" s="638">
        <v>37.83</v>
      </c>
      <c r="G449" s="638">
        <v>29.22</v>
      </c>
      <c r="H449" s="638">
        <v>25.51</v>
      </c>
      <c r="I449" s="638">
        <v>0</v>
      </c>
      <c r="J449" s="638"/>
      <c r="K449" s="638"/>
      <c r="L449" s="638">
        <v>0.57999999999999996</v>
      </c>
      <c r="M449" s="638">
        <v>0.31</v>
      </c>
      <c r="N449" s="638">
        <v>19.84</v>
      </c>
      <c r="O449" s="638">
        <v>26.55</v>
      </c>
      <c r="P449" s="641">
        <f t="shared" si="109"/>
        <v>196.59000000000003</v>
      </c>
      <c r="Q449" s="541"/>
    </row>
    <row r="450" spans="1:17" ht="15">
      <c r="A450" s="18"/>
      <c r="B450" s="18" t="s">
        <v>722</v>
      </c>
      <c r="C450" s="18"/>
      <c r="D450" s="638">
        <v>0</v>
      </c>
      <c r="E450" s="638">
        <v>0</v>
      </c>
      <c r="F450" s="638">
        <v>0</v>
      </c>
      <c r="G450" s="638">
        <v>0</v>
      </c>
      <c r="H450" s="638">
        <v>0</v>
      </c>
      <c r="I450" s="638">
        <v>0</v>
      </c>
      <c r="J450" s="638">
        <v>0</v>
      </c>
      <c r="K450" s="638">
        <v>0</v>
      </c>
      <c r="L450" s="638">
        <v>0</v>
      </c>
      <c r="M450" s="638">
        <v>0</v>
      </c>
      <c r="N450" s="638">
        <v>0</v>
      </c>
      <c r="O450" s="638">
        <v>0</v>
      </c>
      <c r="P450" s="641">
        <f t="shared" si="109"/>
        <v>0</v>
      </c>
      <c r="Q450" s="541"/>
    </row>
    <row r="451" spans="1:17" ht="15">
      <c r="A451" s="18"/>
      <c r="B451" s="18" t="s">
        <v>718</v>
      </c>
      <c r="C451" s="18"/>
      <c r="D451" s="638">
        <v>7</v>
      </c>
      <c r="E451" s="640">
        <f>D451</f>
        <v>7</v>
      </c>
      <c r="F451" s="640">
        <f t="shared" ref="F451:O453" si="110">E451</f>
        <v>7</v>
      </c>
      <c r="G451" s="640">
        <f t="shared" si="110"/>
        <v>7</v>
      </c>
      <c r="H451" s="640">
        <f t="shared" si="110"/>
        <v>7</v>
      </c>
      <c r="I451" s="638">
        <v>7.5</v>
      </c>
      <c r="J451" s="640">
        <f t="shared" si="110"/>
        <v>7.5</v>
      </c>
      <c r="K451" s="640">
        <f t="shared" si="110"/>
        <v>7.5</v>
      </c>
      <c r="L451" s="640">
        <f t="shared" si="110"/>
        <v>7.5</v>
      </c>
      <c r="M451" s="640">
        <f t="shared" si="110"/>
        <v>7.5</v>
      </c>
      <c r="N451" s="640">
        <f t="shared" si="110"/>
        <v>7.5</v>
      </c>
      <c r="O451" s="640">
        <f t="shared" si="110"/>
        <v>7.5</v>
      </c>
      <c r="P451" s="18"/>
      <c r="Q451" s="541"/>
    </row>
    <row r="452" spans="1:17" ht="15">
      <c r="A452" s="18"/>
      <c r="B452" s="18" t="s">
        <v>719</v>
      </c>
      <c r="C452" s="18"/>
      <c r="D452" s="638">
        <v>0.5</v>
      </c>
      <c r="E452" s="640">
        <f>D452</f>
        <v>0.5</v>
      </c>
      <c r="F452" s="640">
        <f t="shared" si="110"/>
        <v>0.5</v>
      </c>
      <c r="G452" s="640">
        <f t="shared" si="110"/>
        <v>0.5</v>
      </c>
      <c r="H452" s="640">
        <f t="shared" si="110"/>
        <v>0.5</v>
      </c>
      <c r="I452" s="640">
        <f t="shared" si="110"/>
        <v>0.5</v>
      </c>
      <c r="J452" s="640">
        <f t="shared" si="110"/>
        <v>0.5</v>
      </c>
      <c r="K452" s="640">
        <f t="shared" si="110"/>
        <v>0.5</v>
      </c>
      <c r="L452" s="640">
        <f t="shared" si="110"/>
        <v>0.5</v>
      </c>
      <c r="M452" s="640">
        <f t="shared" si="110"/>
        <v>0.5</v>
      </c>
      <c r="N452" s="640">
        <f t="shared" si="110"/>
        <v>0.5</v>
      </c>
      <c r="O452" s="640">
        <f t="shared" si="110"/>
        <v>0.5</v>
      </c>
      <c r="P452" s="18"/>
      <c r="Q452" s="541"/>
    </row>
    <row r="453" spans="1:17" ht="15">
      <c r="A453" s="18"/>
      <c r="B453" s="18" t="s">
        <v>723</v>
      </c>
      <c r="C453" s="18"/>
      <c r="D453" s="638">
        <v>-0.2</v>
      </c>
      <c r="E453" s="640">
        <f>D453</f>
        <v>-0.2</v>
      </c>
      <c r="F453" s="640">
        <f t="shared" si="110"/>
        <v>-0.2</v>
      </c>
      <c r="G453" s="640">
        <f t="shared" si="110"/>
        <v>-0.2</v>
      </c>
      <c r="H453" s="640">
        <f t="shared" si="110"/>
        <v>-0.2</v>
      </c>
      <c r="I453" s="640">
        <f t="shared" si="110"/>
        <v>-0.2</v>
      </c>
      <c r="J453" s="640">
        <f t="shared" si="110"/>
        <v>-0.2</v>
      </c>
      <c r="K453" s="640">
        <f t="shared" si="110"/>
        <v>-0.2</v>
      </c>
      <c r="L453" s="640">
        <f t="shared" si="110"/>
        <v>-0.2</v>
      </c>
      <c r="M453" s="640">
        <f t="shared" si="110"/>
        <v>-0.2</v>
      </c>
      <c r="N453" s="640">
        <f t="shared" si="110"/>
        <v>-0.2</v>
      </c>
      <c r="O453" s="640">
        <f t="shared" si="110"/>
        <v>-0.2</v>
      </c>
      <c r="P453" s="18"/>
      <c r="Q453" s="541"/>
    </row>
    <row r="454" spans="1:17" s="554" customFormat="1">
      <c r="A454" s="18" t="s">
        <v>755</v>
      </c>
      <c r="B454" s="18"/>
      <c r="C454" s="18"/>
      <c r="D454" s="18"/>
      <c r="E454" s="18"/>
      <c r="F454" s="18"/>
      <c r="G454" s="18"/>
      <c r="H454" s="18"/>
      <c r="I454" s="18"/>
      <c r="J454" s="18"/>
      <c r="K454" s="18"/>
      <c r="L454" s="18"/>
      <c r="M454" s="18"/>
      <c r="N454" s="18"/>
      <c r="O454" s="18"/>
      <c r="P454" s="18"/>
    </row>
    <row r="455" spans="1:17" s="554" customFormat="1" ht="15">
      <c r="A455" s="18"/>
      <c r="B455" s="18" t="s">
        <v>716</v>
      </c>
      <c r="C455" s="18"/>
      <c r="D455" s="638">
        <v>0</v>
      </c>
      <c r="E455" s="638">
        <v>0</v>
      </c>
      <c r="F455" s="638">
        <v>0</v>
      </c>
      <c r="G455" s="638">
        <v>0</v>
      </c>
      <c r="H455" s="638">
        <v>0</v>
      </c>
      <c r="I455" s="638">
        <v>0</v>
      </c>
      <c r="J455" s="638">
        <v>0</v>
      </c>
      <c r="K455" s="638">
        <v>0</v>
      </c>
      <c r="L455" s="638">
        <v>0</v>
      </c>
      <c r="M455" s="638">
        <v>0</v>
      </c>
      <c r="N455" s="638">
        <v>0</v>
      </c>
      <c r="O455" s="638">
        <v>0</v>
      </c>
      <c r="P455" s="641">
        <f t="shared" ref="P455:P457" si="111">SUM(D455:O455)</f>
        <v>0</v>
      </c>
    </row>
    <row r="456" spans="1:17" s="554" customFormat="1" ht="15">
      <c r="A456" s="18"/>
      <c r="B456" s="18" t="s">
        <v>717</v>
      </c>
      <c r="C456" s="18"/>
      <c r="D456" s="638">
        <v>0</v>
      </c>
      <c r="E456" s="638">
        <v>0</v>
      </c>
      <c r="F456" s="638">
        <v>0</v>
      </c>
      <c r="G456" s="638">
        <v>0</v>
      </c>
      <c r="H456" s="638">
        <v>0</v>
      </c>
      <c r="I456" s="638">
        <v>0</v>
      </c>
      <c r="J456" s="638">
        <v>0</v>
      </c>
      <c r="K456" s="638">
        <v>0</v>
      </c>
      <c r="L456" s="638">
        <v>0</v>
      </c>
      <c r="M456" s="638">
        <v>0</v>
      </c>
      <c r="N456" s="638">
        <v>0</v>
      </c>
      <c r="O456" s="638">
        <v>0</v>
      </c>
      <c r="P456" s="641">
        <f t="shared" si="111"/>
        <v>0</v>
      </c>
    </row>
    <row r="457" spans="1:17" s="554" customFormat="1" ht="15">
      <c r="A457" s="18"/>
      <c r="B457" s="18" t="s">
        <v>722</v>
      </c>
      <c r="C457" s="18"/>
      <c r="D457" s="638">
        <v>0</v>
      </c>
      <c r="E457" s="638">
        <v>0</v>
      </c>
      <c r="F457" s="638">
        <v>0</v>
      </c>
      <c r="G457" s="638">
        <v>0</v>
      </c>
      <c r="H457" s="638">
        <v>0</v>
      </c>
      <c r="I457" s="638">
        <v>0</v>
      </c>
      <c r="J457" s="638">
        <v>0</v>
      </c>
      <c r="K457" s="638">
        <v>0</v>
      </c>
      <c r="L457" s="638">
        <v>0</v>
      </c>
      <c r="M457" s="638">
        <v>0</v>
      </c>
      <c r="N457" s="638">
        <v>0</v>
      </c>
      <c r="O457" s="638">
        <v>0</v>
      </c>
      <c r="P457" s="641">
        <f t="shared" si="111"/>
        <v>0</v>
      </c>
    </row>
    <row r="458" spans="1:17" s="554" customFormat="1" ht="15">
      <c r="A458" s="18"/>
      <c r="B458" s="18" t="s">
        <v>718</v>
      </c>
      <c r="C458" s="18"/>
      <c r="D458" s="638">
        <v>0</v>
      </c>
      <c r="E458" s="640">
        <f>D458</f>
        <v>0</v>
      </c>
      <c r="F458" s="640">
        <f t="shared" ref="F458:F460" si="112">E458</f>
        <v>0</v>
      </c>
      <c r="G458" s="640">
        <f t="shared" ref="G458:G460" si="113">F458</f>
        <v>0</v>
      </c>
      <c r="H458" s="640">
        <f t="shared" ref="H458:H460" si="114">G458</f>
        <v>0</v>
      </c>
      <c r="I458" s="640">
        <f t="shared" ref="I458:I460" si="115">H458</f>
        <v>0</v>
      </c>
      <c r="J458" s="640">
        <f t="shared" ref="J458:J460" si="116">I458</f>
        <v>0</v>
      </c>
      <c r="K458" s="640">
        <f t="shared" ref="K458:K460" si="117">J458</f>
        <v>0</v>
      </c>
      <c r="L458" s="640">
        <f t="shared" ref="L458:L460" si="118">K458</f>
        <v>0</v>
      </c>
      <c r="M458" s="640">
        <f t="shared" ref="M458:M460" si="119">L458</f>
        <v>0</v>
      </c>
      <c r="N458" s="640">
        <f t="shared" ref="N458:N460" si="120">M458</f>
        <v>0</v>
      </c>
      <c r="O458" s="640">
        <f t="shared" ref="O458:O460" si="121">N458</f>
        <v>0</v>
      </c>
      <c r="P458" s="18"/>
    </row>
    <row r="459" spans="1:17" s="554" customFormat="1" ht="15">
      <c r="A459" s="18"/>
      <c r="B459" s="18" t="s">
        <v>719</v>
      </c>
      <c r="C459" s="18"/>
      <c r="D459" s="638">
        <v>0.5</v>
      </c>
      <c r="E459" s="640">
        <f>D459</f>
        <v>0.5</v>
      </c>
      <c r="F459" s="640">
        <f t="shared" si="112"/>
        <v>0.5</v>
      </c>
      <c r="G459" s="640">
        <f t="shared" si="113"/>
        <v>0.5</v>
      </c>
      <c r="H459" s="640">
        <f t="shared" si="114"/>
        <v>0.5</v>
      </c>
      <c r="I459" s="640">
        <f t="shared" si="115"/>
        <v>0.5</v>
      </c>
      <c r="J459" s="640">
        <f t="shared" si="116"/>
        <v>0.5</v>
      </c>
      <c r="K459" s="640">
        <f t="shared" si="117"/>
        <v>0.5</v>
      </c>
      <c r="L459" s="640">
        <f t="shared" si="118"/>
        <v>0.5</v>
      </c>
      <c r="M459" s="640">
        <f t="shared" si="119"/>
        <v>0.5</v>
      </c>
      <c r="N459" s="640">
        <f t="shared" si="120"/>
        <v>0.5</v>
      </c>
      <c r="O459" s="640">
        <f t="shared" si="121"/>
        <v>0.5</v>
      </c>
      <c r="P459" s="18"/>
    </row>
    <row r="460" spans="1:17" s="554" customFormat="1" ht="15">
      <c r="A460" s="18"/>
      <c r="B460" s="18" t="s">
        <v>723</v>
      </c>
      <c r="C460" s="18"/>
      <c r="D460" s="638">
        <v>-0.2</v>
      </c>
      <c r="E460" s="640">
        <f>D460</f>
        <v>-0.2</v>
      </c>
      <c r="F460" s="640">
        <f t="shared" si="112"/>
        <v>-0.2</v>
      </c>
      <c r="G460" s="640">
        <f t="shared" si="113"/>
        <v>-0.2</v>
      </c>
      <c r="H460" s="640">
        <f t="shared" si="114"/>
        <v>-0.2</v>
      </c>
      <c r="I460" s="640">
        <f t="shared" si="115"/>
        <v>-0.2</v>
      </c>
      <c r="J460" s="640">
        <f t="shared" si="116"/>
        <v>-0.2</v>
      </c>
      <c r="K460" s="640">
        <f t="shared" si="117"/>
        <v>-0.2</v>
      </c>
      <c r="L460" s="640">
        <f t="shared" si="118"/>
        <v>-0.2</v>
      </c>
      <c r="M460" s="640">
        <f t="shared" si="119"/>
        <v>-0.2</v>
      </c>
      <c r="N460" s="640">
        <f t="shared" si="120"/>
        <v>-0.2</v>
      </c>
      <c r="O460" s="640">
        <f t="shared" si="121"/>
        <v>-0.2</v>
      </c>
      <c r="P460" s="18"/>
    </row>
    <row r="461" spans="1:17">
      <c r="A461" s="18" t="s">
        <v>725</v>
      </c>
      <c r="B461" s="18"/>
      <c r="C461" s="18"/>
      <c r="D461" s="18"/>
      <c r="E461" s="18"/>
      <c r="F461" s="18"/>
      <c r="G461" s="18"/>
      <c r="H461" s="18"/>
      <c r="I461" s="18"/>
      <c r="J461" s="18"/>
      <c r="K461" s="18"/>
      <c r="L461" s="18"/>
      <c r="M461" s="18"/>
      <c r="N461" s="18"/>
      <c r="O461" s="18"/>
      <c r="P461" s="18"/>
      <c r="Q461" s="541"/>
    </row>
    <row r="462" spans="1:17" ht="15">
      <c r="A462" s="18"/>
      <c r="B462" s="18" t="s">
        <v>716</v>
      </c>
      <c r="C462" s="18"/>
      <c r="D462" s="638">
        <v>444853.22</v>
      </c>
      <c r="E462" s="638">
        <v>449268.34</v>
      </c>
      <c r="F462" s="638">
        <v>464527.78</v>
      </c>
      <c r="G462" s="638">
        <v>456535.96</v>
      </c>
      <c r="H462" s="638">
        <v>415346.62</v>
      </c>
      <c r="I462" s="638">
        <v>389366.41</v>
      </c>
      <c r="J462" s="638">
        <v>740681.96</v>
      </c>
      <c r="K462" s="638">
        <v>35923.15</v>
      </c>
      <c r="L462" s="638">
        <v>388073.11</v>
      </c>
      <c r="M462" s="638">
        <v>384591.9</v>
      </c>
      <c r="N462" s="638">
        <v>416931.43</v>
      </c>
      <c r="O462" s="638">
        <v>410593.51</v>
      </c>
      <c r="P462" s="641">
        <f t="shared" ref="P462:P465" si="122">SUM(D462:O462)</f>
        <v>4996693.3899999997</v>
      </c>
      <c r="Q462" s="369"/>
    </row>
    <row r="463" spans="1:17" ht="15">
      <c r="A463" s="18"/>
      <c r="B463" s="18" t="s">
        <v>726</v>
      </c>
      <c r="C463" s="18"/>
      <c r="D463" s="638">
        <v>-17101.47</v>
      </c>
      <c r="E463" s="638">
        <v>-17280.05</v>
      </c>
      <c r="F463" s="638">
        <v>-17565.47</v>
      </c>
      <c r="G463" s="638">
        <v>-17374.66</v>
      </c>
      <c r="H463" s="638">
        <v>-16410.57</v>
      </c>
      <c r="I463" s="638">
        <v>-15895.36</v>
      </c>
      <c r="J463" s="638">
        <v>-29310.69</v>
      </c>
      <c r="K463" s="638">
        <v>-2065.61</v>
      </c>
      <c r="L463" s="638">
        <v>-15927.46</v>
      </c>
      <c r="M463" s="638">
        <v>-15706.72</v>
      </c>
      <c r="N463" s="638">
        <v>-16579.29</v>
      </c>
      <c r="O463" s="638">
        <v>-15745.18</v>
      </c>
      <c r="P463" s="641">
        <f t="shared" si="122"/>
        <v>-196962.53</v>
      </c>
      <c r="Q463" s="369"/>
    </row>
    <row r="464" spans="1:17" ht="15">
      <c r="A464" s="18"/>
      <c r="B464" s="18" t="s">
        <v>727</v>
      </c>
      <c r="C464" s="18"/>
      <c r="D464" s="638">
        <v>-13263.7</v>
      </c>
      <c r="E464" s="638">
        <v>-13141.57</v>
      </c>
      <c r="F464" s="638">
        <v>-13206.69</v>
      </c>
      <c r="G464" s="638">
        <v>-12251.05</v>
      </c>
      <c r="H464" s="638">
        <v>-12295.45</v>
      </c>
      <c r="I464" s="638">
        <v>-12006.65</v>
      </c>
      <c r="J464" s="638">
        <v>-12173.21</v>
      </c>
      <c r="K464" s="638">
        <v>-11137.63</v>
      </c>
      <c r="L464" s="638">
        <v>-12684.78</v>
      </c>
      <c r="M464" s="638">
        <v>-11734.22</v>
      </c>
      <c r="N464" s="638">
        <v>-11482.86</v>
      </c>
      <c r="O464" s="638">
        <v>-11496.16</v>
      </c>
      <c r="P464" s="641">
        <f t="shared" si="122"/>
        <v>-146873.97</v>
      </c>
      <c r="Q464" s="369"/>
    </row>
    <row r="465" spans="1:17" ht="15">
      <c r="A465" s="18"/>
      <c r="B465" s="18" t="s">
        <v>728</v>
      </c>
      <c r="C465" s="18"/>
      <c r="D465" s="638">
        <v>-102980.71</v>
      </c>
      <c r="E465" s="638">
        <v>-97136.61</v>
      </c>
      <c r="F465" s="638">
        <v>-105717.87</v>
      </c>
      <c r="G465" s="638">
        <v>-106063.9</v>
      </c>
      <c r="H465" s="638">
        <v>-104867.3</v>
      </c>
      <c r="I465" s="638">
        <v>-106281.97</v>
      </c>
      <c r="J465" s="638">
        <v>-106549.7</v>
      </c>
      <c r="K465" s="638">
        <v>-104946.82</v>
      </c>
      <c r="L465" s="638">
        <v>-105742.35</v>
      </c>
      <c r="M465" s="638">
        <v>-106311.66</v>
      </c>
      <c r="N465" s="638">
        <v>-102223.67</v>
      </c>
      <c r="O465" s="638">
        <v>-102958.86</v>
      </c>
      <c r="P465" s="641">
        <f t="shared" si="122"/>
        <v>-1251781.42</v>
      </c>
      <c r="Q465" s="369"/>
    </row>
    <row r="466" spans="1:17" ht="15">
      <c r="A466" s="18"/>
      <c r="B466" s="18" t="s">
        <v>718</v>
      </c>
      <c r="C466" s="18"/>
      <c r="D466" s="638">
        <v>8.3000000000000007</v>
      </c>
      <c r="E466" s="640">
        <f t="shared" ref="E466:O469" si="123">D466</f>
        <v>8.3000000000000007</v>
      </c>
      <c r="F466" s="640">
        <f t="shared" si="123"/>
        <v>8.3000000000000007</v>
      </c>
      <c r="G466" s="640">
        <f t="shared" si="123"/>
        <v>8.3000000000000007</v>
      </c>
      <c r="H466" s="640">
        <f t="shared" si="123"/>
        <v>8.3000000000000007</v>
      </c>
      <c r="I466" s="640">
        <f t="shared" si="123"/>
        <v>8.3000000000000007</v>
      </c>
      <c r="J466" s="640">
        <f t="shared" si="123"/>
        <v>8.3000000000000007</v>
      </c>
      <c r="K466" s="640">
        <f t="shared" si="123"/>
        <v>8.3000000000000007</v>
      </c>
      <c r="L466" s="640">
        <f t="shared" si="123"/>
        <v>8.3000000000000007</v>
      </c>
      <c r="M466" s="640">
        <f t="shared" si="123"/>
        <v>8.3000000000000007</v>
      </c>
      <c r="N466" s="640">
        <f t="shared" si="123"/>
        <v>8.3000000000000007</v>
      </c>
      <c r="O466" s="640">
        <f t="shared" si="123"/>
        <v>8.3000000000000007</v>
      </c>
      <c r="P466" s="18"/>
      <c r="Q466" s="541"/>
    </row>
    <row r="467" spans="1:17" ht="15">
      <c r="A467" s="18"/>
      <c r="B467" s="18" t="s">
        <v>729</v>
      </c>
      <c r="C467" s="18"/>
      <c r="D467" s="638">
        <v>-0.2</v>
      </c>
      <c r="E467" s="640">
        <f t="shared" si="123"/>
        <v>-0.2</v>
      </c>
      <c r="F467" s="640">
        <f t="shared" si="123"/>
        <v>-0.2</v>
      </c>
      <c r="G467" s="640">
        <f t="shared" si="123"/>
        <v>-0.2</v>
      </c>
      <c r="H467" s="640">
        <f t="shared" si="123"/>
        <v>-0.2</v>
      </c>
      <c r="I467" s="640">
        <f t="shared" si="123"/>
        <v>-0.2</v>
      </c>
      <c r="J467" s="640">
        <f t="shared" si="123"/>
        <v>-0.2</v>
      </c>
      <c r="K467" s="640">
        <f t="shared" si="123"/>
        <v>-0.2</v>
      </c>
      <c r="L467" s="640">
        <f t="shared" si="123"/>
        <v>-0.2</v>
      </c>
      <c r="M467" s="640">
        <f t="shared" si="123"/>
        <v>-0.2</v>
      </c>
      <c r="N467" s="640">
        <f t="shared" si="123"/>
        <v>-0.2</v>
      </c>
      <c r="O467" s="640">
        <f t="shared" si="123"/>
        <v>-0.2</v>
      </c>
      <c r="P467" s="18"/>
      <c r="Q467" s="541"/>
    </row>
    <row r="468" spans="1:17" ht="15">
      <c r="A468" s="18"/>
      <c r="B468" s="18" t="s">
        <v>730</v>
      </c>
      <c r="C468" s="18"/>
      <c r="D468" s="638">
        <v>-1.52</v>
      </c>
      <c r="E468" s="640">
        <f t="shared" si="123"/>
        <v>-1.52</v>
      </c>
      <c r="F468" s="640">
        <f t="shared" si="123"/>
        <v>-1.52</v>
      </c>
      <c r="G468" s="640">
        <f t="shared" si="123"/>
        <v>-1.52</v>
      </c>
      <c r="H468" s="640">
        <f t="shared" si="123"/>
        <v>-1.52</v>
      </c>
      <c r="I468" s="640">
        <f t="shared" si="123"/>
        <v>-1.52</v>
      </c>
      <c r="J468" s="640">
        <f t="shared" si="123"/>
        <v>-1.52</v>
      </c>
      <c r="K468" s="640">
        <f t="shared" si="123"/>
        <v>-1.52</v>
      </c>
      <c r="L468" s="640">
        <f t="shared" si="123"/>
        <v>-1.52</v>
      </c>
      <c r="M468" s="640">
        <f t="shared" si="123"/>
        <v>-1.52</v>
      </c>
      <c r="N468" s="640">
        <f t="shared" si="123"/>
        <v>-1.52</v>
      </c>
      <c r="O468" s="640">
        <f t="shared" si="123"/>
        <v>-1.52</v>
      </c>
      <c r="P468" s="18"/>
      <c r="Q468" s="541"/>
    </row>
    <row r="469" spans="1:17" ht="15">
      <c r="A469" s="18"/>
      <c r="B469" s="18" t="s">
        <v>731</v>
      </c>
      <c r="C469" s="18"/>
      <c r="D469" s="638">
        <v>-1.93</v>
      </c>
      <c r="E469" s="640">
        <f t="shared" si="123"/>
        <v>-1.93</v>
      </c>
      <c r="F469" s="640">
        <f t="shared" si="123"/>
        <v>-1.93</v>
      </c>
      <c r="G469" s="640">
        <f t="shared" si="123"/>
        <v>-1.93</v>
      </c>
      <c r="H469" s="640">
        <f t="shared" si="123"/>
        <v>-1.93</v>
      </c>
      <c r="I469" s="640">
        <f t="shared" si="123"/>
        <v>-1.93</v>
      </c>
      <c r="J469" s="640">
        <f t="shared" si="123"/>
        <v>-1.93</v>
      </c>
      <c r="K469" s="640">
        <f t="shared" si="123"/>
        <v>-1.93</v>
      </c>
      <c r="L469" s="640">
        <f t="shared" si="123"/>
        <v>-1.93</v>
      </c>
      <c r="M469" s="640">
        <f t="shared" si="123"/>
        <v>-1.93</v>
      </c>
      <c r="N469" s="640">
        <f t="shared" si="123"/>
        <v>-1.93</v>
      </c>
      <c r="O469" s="640">
        <f t="shared" si="123"/>
        <v>-1.93</v>
      </c>
      <c r="P469" s="18"/>
      <c r="Q469" s="541"/>
    </row>
    <row r="470" spans="1:17" s="554" customFormat="1">
      <c r="A470" s="18" t="s">
        <v>756</v>
      </c>
      <c r="B470" s="18"/>
      <c r="C470" s="18"/>
      <c r="D470" s="18"/>
      <c r="E470" s="18"/>
      <c r="F470" s="18"/>
      <c r="G470" s="18"/>
      <c r="H470" s="18"/>
      <c r="I470" s="18"/>
      <c r="J470" s="18"/>
      <c r="K470" s="18"/>
      <c r="L470" s="18"/>
      <c r="M470" s="18"/>
      <c r="N470" s="18"/>
      <c r="O470" s="18"/>
      <c r="P470" s="18"/>
    </row>
    <row r="471" spans="1:17" s="554" customFormat="1" ht="15">
      <c r="A471" s="18"/>
      <c r="B471" s="18" t="s">
        <v>716</v>
      </c>
      <c r="C471" s="18"/>
      <c r="D471" s="638">
        <v>496662.62</v>
      </c>
      <c r="E471" s="638">
        <v>465754.33</v>
      </c>
      <c r="F471" s="638">
        <v>511110.43</v>
      </c>
      <c r="G471" s="638">
        <v>491407.97</v>
      </c>
      <c r="H471" s="638">
        <v>501823.89</v>
      </c>
      <c r="I471" s="638">
        <v>490886.24</v>
      </c>
      <c r="J471" s="638">
        <v>493823.52</v>
      </c>
      <c r="K471" s="638">
        <v>489490.59</v>
      </c>
      <c r="L471" s="638">
        <v>502736.48</v>
      </c>
      <c r="M471" s="638">
        <v>497597.04</v>
      </c>
      <c r="N471" s="638">
        <v>475667.27</v>
      </c>
      <c r="O471" s="638">
        <v>482139.61</v>
      </c>
      <c r="P471" s="641">
        <f t="shared" ref="P471:P474" si="124">SUM(D471:O471)</f>
        <v>5899099.9899999993</v>
      </c>
      <c r="Q471" s="369"/>
    </row>
    <row r="472" spans="1:17" s="554" customFormat="1" ht="15">
      <c r="A472" s="18"/>
      <c r="B472" s="18" t="s">
        <v>726</v>
      </c>
      <c r="C472" s="18"/>
      <c r="D472" s="638">
        <v>0</v>
      </c>
      <c r="E472" s="638">
        <v>0</v>
      </c>
      <c r="F472" s="638">
        <v>0</v>
      </c>
      <c r="G472" s="638">
        <v>0</v>
      </c>
      <c r="H472" s="638">
        <v>0</v>
      </c>
      <c r="I472" s="638">
        <v>0</v>
      </c>
      <c r="J472" s="638">
        <v>0</v>
      </c>
      <c r="K472" s="638">
        <v>0</v>
      </c>
      <c r="L472" s="638">
        <v>0</v>
      </c>
      <c r="M472" s="638">
        <v>0</v>
      </c>
      <c r="N472" s="638">
        <v>0</v>
      </c>
      <c r="O472" s="638">
        <v>0</v>
      </c>
      <c r="P472" s="641">
        <f t="shared" si="124"/>
        <v>0</v>
      </c>
      <c r="Q472" s="369"/>
    </row>
    <row r="473" spans="1:17" s="554" customFormat="1" ht="15">
      <c r="A473" s="18"/>
      <c r="B473" s="18" t="s">
        <v>727</v>
      </c>
      <c r="C473" s="18"/>
      <c r="D473" s="638">
        <v>0</v>
      </c>
      <c r="E473" s="638">
        <v>0</v>
      </c>
      <c r="F473" s="638">
        <v>0</v>
      </c>
      <c r="G473" s="638">
        <v>0</v>
      </c>
      <c r="H473" s="638">
        <v>0</v>
      </c>
      <c r="I473" s="638">
        <v>0</v>
      </c>
      <c r="J473" s="638">
        <v>0</v>
      </c>
      <c r="K473" s="638">
        <v>0</v>
      </c>
      <c r="L473" s="638">
        <v>0</v>
      </c>
      <c r="M473" s="638">
        <v>0</v>
      </c>
      <c r="N473" s="638">
        <v>0</v>
      </c>
      <c r="O473" s="638">
        <v>0</v>
      </c>
      <c r="P473" s="641">
        <f t="shared" si="124"/>
        <v>0</v>
      </c>
      <c r="Q473" s="369"/>
    </row>
    <row r="474" spans="1:17" s="554" customFormat="1" ht="15">
      <c r="A474" s="18"/>
      <c r="B474" s="18" t="s">
        <v>728</v>
      </c>
      <c r="C474" s="18"/>
      <c r="D474" s="638">
        <v>0</v>
      </c>
      <c r="E474" s="638">
        <v>0</v>
      </c>
      <c r="F474" s="638">
        <v>0</v>
      </c>
      <c r="G474" s="638">
        <v>0</v>
      </c>
      <c r="H474" s="638">
        <v>0</v>
      </c>
      <c r="I474" s="638">
        <v>0</v>
      </c>
      <c r="J474" s="638">
        <v>0</v>
      </c>
      <c r="K474" s="638">
        <v>0</v>
      </c>
      <c r="L474" s="638">
        <v>0</v>
      </c>
      <c r="M474" s="638">
        <v>0</v>
      </c>
      <c r="N474" s="638">
        <v>0</v>
      </c>
      <c r="O474" s="638">
        <v>0</v>
      </c>
      <c r="P474" s="641">
        <f t="shared" si="124"/>
        <v>0</v>
      </c>
      <c r="Q474" s="369"/>
    </row>
    <row r="475" spans="1:17" s="554" customFormat="1" ht="15">
      <c r="A475" s="18"/>
      <c r="B475" s="18" t="s">
        <v>718</v>
      </c>
      <c r="C475" s="18"/>
      <c r="D475" s="638">
        <v>8.3000000000000007</v>
      </c>
      <c r="E475" s="640">
        <f t="shared" ref="E475:E478" si="125">D475</f>
        <v>8.3000000000000007</v>
      </c>
      <c r="F475" s="640">
        <f t="shared" ref="F475:F478" si="126">E475</f>
        <v>8.3000000000000007</v>
      </c>
      <c r="G475" s="640">
        <f t="shared" ref="G475:G478" si="127">F475</f>
        <v>8.3000000000000007</v>
      </c>
      <c r="H475" s="640">
        <f t="shared" ref="H475:H478" si="128">G475</f>
        <v>8.3000000000000007</v>
      </c>
      <c r="I475" s="640">
        <f t="shared" ref="I475:I478" si="129">H475</f>
        <v>8.3000000000000007</v>
      </c>
      <c r="J475" s="640">
        <f t="shared" ref="J475:J478" si="130">I475</f>
        <v>8.3000000000000007</v>
      </c>
      <c r="K475" s="640">
        <f t="shared" ref="K475:K478" si="131">J475</f>
        <v>8.3000000000000007</v>
      </c>
      <c r="L475" s="640">
        <f t="shared" ref="L475:L478" si="132">K475</f>
        <v>8.3000000000000007</v>
      </c>
      <c r="M475" s="640">
        <f t="shared" ref="M475:M478" si="133">L475</f>
        <v>8.3000000000000007</v>
      </c>
      <c r="N475" s="640">
        <f t="shared" ref="N475:N478" si="134">M475</f>
        <v>8.3000000000000007</v>
      </c>
      <c r="O475" s="640">
        <f t="shared" ref="O475:O478" si="135">N475</f>
        <v>8.3000000000000007</v>
      </c>
      <c r="P475" s="18"/>
    </row>
    <row r="476" spans="1:17" s="554" customFormat="1" ht="15">
      <c r="A476" s="18"/>
      <c r="B476" s="18" t="s">
        <v>729</v>
      </c>
      <c r="C476" s="18"/>
      <c r="D476" s="638">
        <v>-0.2</v>
      </c>
      <c r="E476" s="640">
        <f t="shared" si="125"/>
        <v>-0.2</v>
      </c>
      <c r="F476" s="640">
        <f t="shared" si="126"/>
        <v>-0.2</v>
      </c>
      <c r="G476" s="640">
        <f t="shared" si="127"/>
        <v>-0.2</v>
      </c>
      <c r="H476" s="640">
        <f t="shared" si="128"/>
        <v>-0.2</v>
      </c>
      <c r="I476" s="640">
        <f t="shared" si="129"/>
        <v>-0.2</v>
      </c>
      <c r="J476" s="640">
        <f t="shared" si="130"/>
        <v>-0.2</v>
      </c>
      <c r="K476" s="640">
        <f t="shared" si="131"/>
        <v>-0.2</v>
      </c>
      <c r="L476" s="640">
        <f t="shared" si="132"/>
        <v>-0.2</v>
      </c>
      <c r="M476" s="640">
        <f t="shared" si="133"/>
        <v>-0.2</v>
      </c>
      <c r="N476" s="640">
        <f t="shared" si="134"/>
        <v>-0.2</v>
      </c>
      <c r="O476" s="640">
        <f t="shared" si="135"/>
        <v>-0.2</v>
      </c>
      <c r="P476" s="18"/>
    </row>
    <row r="477" spans="1:17" s="554" customFormat="1" ht="15">
      <c r="A477" s="18"/>
      <c r="B477" s="18" t="s">
        <v>730</v>
      </c>
      <c r="C477" s="18"/>
      <c r="D477" s="638">
        <v>-1.52</v>
      </c>
      <c r="E477" s="640">
        <f t="shared" si="125"/>
        <v>-1.52</v>
      </c>
      <c r="F477" s="640">
        <f t="shared" si="126"/>
        <v>-1.52</v>
      </c>
      <c r="G477" s="640">
        <f t="shared" si="127"/>
        <v>-1.52</v>
      </c>
      <c r="H477" s="640">
        <f t="shared" si="128"/>
        <v>-1.52</v>
      </c>
      <c r="I477" s="640">
        <f t="shared" si="129"/>
        <v>-1.52</v>
      </c>
      <c r="J477" s="640">
        <f t="shared" si="130"/>
        <v>-1.52</v>
      </c>
      <c r="K477" s="640">
        <f t="shared" si="131"/>
        <v>-1.52</v>
      </c>
      <c r="L477" s="640">
        <f t="shared" si="132"/>
        <v>-1.52</v>
      </c>
      <c r="M477" s="640">
        <f t="shared" si="133"/>
        <v>-1.52</v>
      </c>
      <c r="N477" s="640">
        <f t="shared" si="134"/>
        <v>-1.52</v>
      </c>
      <c r="O477" s="640">
        <f t="shared" si="135"/>
        <v>-1.52</v>
      </c>
      <c r="P477" s="18"/>
    </row>
    <row r="478" spans="1:17" s="554" customFormat="1" ht="15">
      <c r="A478" s="18"/>
      <c r="B478" s="18" t="s">
        <v>731</v>
      </c>
      <c r="C478" s="18"/>
      <c r="D478" s="638">
        <v>-1.93</v>
      </c>
      <c r="E478" s="640">
        <f t="shared" si="125"/>
        <v>-1.93</v>
      </c>
      <c r="F478" s="640">
        <f t="shared" si="126"/>
        <v>-1.93</v>
      </c>
      <c r="G478" s="640">
        <f t="shared" si="127"/>
        <v>-1.93</v>
      </c>
      <c r="H478" s="640">
        <f t="shared" si="128"/>
        <v>-1.93</v>
      </c>
      <c r="I478" s="640">
        <f t="shared" si="129"/>
        <v>-1.93</v>
      </c>
      <c r="J478" s="640">
        <f t="shared" si="130"/>
        <v>-1.93</v>
      </c>
      <c r="K478" s="640">
        <f t="shared" si="131"/>
        <v>-1.93</v>
      </c>
      <c r="L478" s="640">
        <f t="shared" si="132"/>
        <v>-1.93</v>
      </c>
      <c r="M478" s="640">
        <f t="shared" si="133"/>
        <v>-1.93</v>
      </c>
      <c r="N478" s="640">
        <f t="shared" si="134"/>
        <v>-1.93</v>
      </c>
      <c r="O478" s="640">
        <f t="shared" si="135"/>
        <v>-1.93</v>
      </c>
      <c r="P478" s="18"/>
    </row>
    <row r="479" spans="1:17">
      <c r="A479" s="18" t="s">
        <v>732</v>
      </c>
      <c r="B479" s="18"/>
      <c r="C479" s="18"/>
      <c r="D479" s="18"/>
      <c r="E479" s="18"/>
      <c r="F479" s="18"/>
      <c r="G479" s="18"/>
      <c r="H479" s="18"/>
      <c r="I479" s="18"/>
      <c r="J479" s="18"/>
      <c r="K479" s="18"/>
      <c r="L479" s="18"/>
      <c r="M479" s="18"/>
      <c r="N479" s="18"/>
      <c r="O479" s="18"/>
      <c r="P479" s="18"/>
      <c r="Q479" s="541"/>
    </row>
    <row r="480" spans="1:17" ht="15">
      <c r="A480" s="18"/>
      <c r="B480" s="18" t="s">
        <v>717</v>
      </c>
      <c r="C480" s="18"/>
      <c r="D480" s="638">
        <v>0</v>
      </c>
      <c r="E480" s="638">
        <v>0</v>
      </c>
      <c r="F480" s="638">
        <v>0</v>
      </c>
      <c r="G480" s="638">
        <v>0</v>
      </c>
      <c r="H480" s="638">
        <v>0</v>
      </c>
      <c r="I480" s="638">
        <v>0</v>
      </c>
      <c r="J480" s="638">
        <v>0</v>
      </c>
      <c r="K480" s="638">
        <v>0</v>
      </c>
      <c r="L480" s="638">
        <v>0</v>
      </c>
      <c r="M480" s="638">
        <v>0</v>
      </c>
      <c r="N480" s="638">
        <v>0</v>
      </c>
      <c r="O480" s="638">
        <v>0</v>
      </c>
      <c r="P480" s="641">
        <f t="shared" ref="P480" si="136">SUM(D480:O480)</f>
        <v>0</v>
      </c>
      <c r="Q480" s="541"/>
    </row>
    <row r="481" spans="1:17" ht="15">
      <c r="A481" s="18"/>
      <c r="B481" s="18" t="s">
        <v>719</v>
      </c>
      <c r="C481" s="18"/>
      <c r="D481" s="638">
        <v>0.5</v>
      </c>
      <c r="E481" s="639">
        <f>D481</f>
        <v>0.5</v>
      </c>
      <c r="F481" s="639">
        <f t="shared" ref="F481:O481" si="137">E481</f>
        <v>0.5</v>
      </c>
      <c r="G481" s="639">
        <f t="shared" si="137"/>
        <v>0.5</v>
      </c>
      <c r="H481" s="639">
        <f t="shared" si="137"/>
        <v>0.5</v>
      </c>
      <c r="I481" s="639">
        <f t="shared" si="137"/>
        <v>0.5</v>
      </c>
      <c r="J481" s="639">
        <f t="shared" si="137"/>
        <v>0.5</v>
      </c>
      <c r="K481" s="639">
        <f t="shared" si="137"/>
        <v>0.5</v>
      </c>
      <c r="L481" s="639">
        <f t="shared" si="137"/>
        <v>0.5</v>
      </c>
      <c r="M481" s="639">
        <f t="shared" si="137"/>
        <v>0.5</v>
      </c>
      <c r="N481" s="639">
        <f t="shared" si="137"/>
        <v>0.5</v>
      </c>
      <c r="O481" s="639">
        <f t="shared" si="137"/>
        <v>0.5</v>
      </c>
      <c r="P481" s="18"/>
      <c r="Q481" s="541"/>
    </row>
    <row r="482" spans="1:17">
      <c r="A482" s="18" t="s">
        <v>733</v>
      </c>
      <c r="B482" s="18"/>
      <c r="C482" s="18"/>
      <c r="D482" s="18"/>
      <c r="E482" s="18"/>
      <c r="F482" s="18"/>
      <c r="G482" s="18"/>
      <c r="H482" s="18"/>
      <c r="I482" s="18"/>
      <c r="J482" s="18"/>
      <c r="K482" s="18"/>
      <c r="L482" s="18"/>
      <c r="M482" s="18"/>
      <c r="N482" s="18"/>
      <c r="O482" s="18"/>
      <c r="P482" s="18"/>
      <c r="Q482" s="541"/>
    </row>
    <row r="483" spans="1:17" ht="15">
      <c r="A483" s="18"/>
      <c r="B483" s="18" t="s">
        <v>717</v>
      </c>
      <c r="C483" s="18"/>
      <c r="D483" s="638">
        <v>0</v>
      </c>
      <c r="E483" s="638">
        <v>0</v>
      </c>
      <c r="F483" s="638">
        <v>0</v>
      </c>
      <c r="G483" s="638">
        <v>0</v>
      </c>
      <c r="H483" s="638">
        <v>0</v>
      </c>
      <c r="I483" s="638">
        <v>0</v>
      </c>
      <c r="J483" s="638">
        <v>0</v>
      </c>
      <c r="K483" s="638">
        <v>0</v>
      </c>
      <c r="L483" s="638">
        <v>0</v>
      </c>
      <c r="M483" s="638">
        <v>0</v>
      </c>
      <c r="N483" s="638">
        <v>0</v>
      </c>
      <c r="O483" s="638">
        <v>0</v>
      </c>
      <c r="P483" s="641">
        <f t="shared" ref="P483" si="138">SUM(D483:O483)</f>
        <v>0</v>
      </c>
      <c r="Q483" s="541"/>
    </row>
    <row r="484" spans="1:17" ht="15">
      <c r="A484" s="18"/>
      <c r="B484" s="18" t="s">
        <v>719</v>
      </c>
      <c r="C484" s="18"/>
      <c r="D484" s="638">
        <v>0.5</v>
      </c>
      <c r="E484" s="639">
        <f>D484</f>
        <v>0.5</v>
      </c>
      <c r="F484" s="639">
        <f t="shared" ref="F484:O484" si="139">E484</f>
        <v>0.5</v>
      </c>
      <c r="G484" s="639">
        <f t="shared" si="139"/>
        <v>0.5</v>
      </c>
      <c r="H484" s="639">
        <f t="shared" si="139"/>
        <v>0.5</v>
      </c>
      <c r="I484" s="639">
        <f t="shared" si="139"/>
        <v>0.5</v>
      </c>
      <c r="J484" s="639">
        <f t="shared" si="139"/>
        <v>0.5</v>
      </c>
      <c r="K484" s="639">
        <f t="shared" si="139"/>
        <v>0.5</v>
      </c>
      <c r="L484" s="639">
        <f t="shared" si="139"/>
        <v>0.5</v>
      </c>
      <c r="M484" s="639">
        <f t="shared" si="139"/>
        <v>0.5</v>
      </c>
      <c r="N484" s="639">
        <f t="shared" si="139"/>
        <v>0.5</v>
      </c>
      <c r="O484" s="639">
        <f t="shared" si="139"/>
        <v>0.5</v>
      </c>
      <c r="P484" s="18"/>
      <c r="Q484" s="541"/>
    </row>
    <row r="485" spans="1:17">
      <c r="A485" s="18" t="s">
        <v>734</v>
      </c>
      <c r="B485" s="18"/>
      <c r="C485" s="18"/>
      <c r="D485" s="18"/>
      <c r="E485" s="18"/>
      <c r="F485" s="18"/>
      <c r="G485" s="18"/>
      <c r="H485" s="18"/>
      <c r="I485" s="18"/>
      <c r="J485" s="18"/>
      <c r="K485" s="18"/>
      <c r="L485" s="18"/>
      <c r="M485" s="18"/>
      <c r="N485" s="18"/>
      <c r="O485" s="18"/>
      <c r="P485" s="18"/>
      <c r="Q485" s="541"/>
    </row>
    <row r="486" spans="1:17" ht="15">
      <c r="A486" s="18"/>
      <c r="B486" s="18" t="s">
        <v>717</v>
      </c>
      <c r="C486" s="18"/>
      <c r="D486" s="638">
        <v>0</v>
      </c>
      <c r="E486" s="638">
        <v>0</v>
      </c>
      <c r="F486" s="638">
        <v>0</v>
      </c>
      <c r="G486" s="638">
        <v>0</v>
      </c>
      <c r="H486" s="638">
        <v>0</v>
      </c>
      <c r="I486" s="638">
        <v>0</v>
      </c>
      <c r="J486" s="638">
        <v>0</v>
      </c>
      <c r="K486" s="638">
        <v>0</v>
      </c>
      <c r="L486" s="638">
        <v>0</v>
      </c>
      <c r="M486" s="638">
        <v>0</v>
      </c>
      <c r="N486" s="638">
        <v>0</v>
      </c>
      <c r="O486" s="638">
        <v>0</v>
      </c>
      <c r="P486" s="641">
        <f t="shared" ref="P486" si="140">SUM(D486:O486)</f>
        <v>0</v>
      </c>
      <c r="Q486" s="541"/>
    </row>
    <row r="487" spans="1:17" ht="15">
      <c r="A487" s="18"/>
      <c r="B487" s="18" t="s">
        <v>719</v>
      </c>
      <c r="C487" s="18"/>
      <c r="D487" s="638">
        <v>0.5</v>
      </c>
      <c r="E487" s="639">
        <f>D487</f>
        <v>0.5</v>
      </c>
      <c r="F487" s="639">
        <f t="shared" ref="F487:O487" si="141">E487</f>
        <v>0.5</v>
      </c>
      <c r="G487" s="639">
        <f t="shared" si="141"/>
        <v>0.5</v>
      </c>
      <c r="H487" s="639">
        <f t="shared" si="141"/>
        <v>0.5</v>
      </c>
      <c r="I487" s="639">
        <f t="shared" si="141"/>
        <v>0.5</v>
      </c>
      <c r="J487" s="639">
        <f t="shared" si="141"/>
        <v>0.5</v>
      </c>
      <c r="K487" s="639">
        <f t="shared" si="141"/>
        <v>0.5</v>
      </c>
      <c r="L487" s="639">
        <f t="shared" si="141"/>
        <v>0.5</v>
      </c>
      <c r="M487" s="639">
        <f t="shared" si="141"/>
        <v>0.5</v>
      </c>
      <c r="N487" s="639">
        <f t="shared" si="141"/>
        <v>0.5</v>
      </c>
      <c r="O487" s="639">
        <f t="shared" si="141"/>
        <v>0.5</v>
      </c>
      <c r="P487" s="18"/>
      <c r="Q487" s="541"/>
    </row>
  </sheetData>
  <mergeCells count="15">
    <mergeCell ref="B391:B392"/>
    <mergeCell ref="A394:C394"/>
    <mergeCell ref="A355:A392"/>
    <mergeCell ref="B355:B356"/>
    <mergeCell ref="B358:B359"/>
    <mergeCell ref="B361:B362"/>
    <mergeCell ref="B364:B365"/>
    <mergeCell ref="B370:B371"/>
    <mergeCell ref="B373:B374"/>
    <mergeCell ref="B379:B380"/>
    <mergeCell ref="B385:B386"/>
    <mergeCell ref="B388:B389"/>
    <mergeCell ref="B367:B368"/>
    <mergeCell ref="B376:B377"/>
    <mergeCell ref="B382:B383"/>
  </mergeCells>
  <pageMargins left="0.7" right="0.7" top="0.75" bottom="0.75" header="0.3" footer="0.3"/>
  <pageSetup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2" ma:contentTypeDescription="" ma:contentTypeScope="" ma:versionID="a62138672b42b0a00d8b2cb47fd6bc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2024-08-16T07:00:00+00:00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18111D71-AF5A-4547-A063-CCF0397CD709}"/>
</file>

<file path=customXml/itemProps2.xml><?xml version="1.0" encoding="utf-8"?>
<ds:datastoreItem xmlns:ds="http://schemas.openxmlformats.org/officeDocument/2006/customXml" ds:itemID="{756EFF67-3A6E-4145-AA0A-3297F0EDE9B3}"/>
</file>

<file path=customXml/itemProps3.xml><?xml version="1.0" encoding="utf-8"?>
<ds:datastoreItem xmlns:ds="http://schemas.openxmlformats.org/officeDocument/2006/customXml" ds:itemID="{F87E5035-F151-41B8-A1E6-8968F3796D36}"/>
</file>

<file path=customXml/itemProps4.xml><?xml version="1.0" encoding="utf-8"?>
<ds:datastoreItem xmlns:ds="http://schemas.openxmlformats.org/officeDocument/2006/customXml" ds:itemID="{1363DDBD-27F5-4714-93F7-C4885371B1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36</vt:i4>
      </vt:variant>
    </vt:vector>
  </HeadingPairs>
  <TitlesOfParts>
    <vt:vector size="52" baseType="lpstr">
      <vt:lpstr>Pres &amp; Prop Rev</vt:lpstr>
      <vt:lpstr>Rate Design</vt:lpstr>
      <vt:lpstr>JDM-9 Pg 1</vt:lpstr>
      <vt:lpstr>JDM-9 Pg 3</vt:lpstr>
      <vt:lpstr>Rate Spread GRC</vt:lpstr>
      <vt:lpstr>Colstrip</vt:lpstr>
      <vt:lpstr>Bill Determ</vt:lpstr>
      <vt:lpstr>Sp Cnt Exh B</vt:lpstr>
      <vt:lpstr>Bill Impact</vt:lpstr>
      <vt:lpstr>WA Sch 25</vt:lpstr>
      <vt:lpstr>Lighting summary</vt:lpstr>
      <vt:lpstr>St Lts</vt:lpstr>
      <vt:lpstr>Area Lts</vt:lpstr>
      <vt:lpstr>Capital Recovery Factor</vt:lpstr>
      <vt:lpstr>Block Data</vt:lpstr>
      <vt:lpstr>REVRUNS 12ME0623</vt:lpstr>
      <vt:lpstr>Base1_Billing2</vt:lpstr>
      <vt:lpstr>ERM</vt:lpstr>
      <vt:lpstr>'Area Lts'!Print_Area</vt:lpstr>
      <vt:lpstr>'Bill Determ'!Print_Area</vt:lpstr>
      <vt:lpstr>'Block Data'!Print_Area</vt:lpstr>
      <vt:lpstr>'JDM-9 Pg 1'!Print_Area</vt:lpstr>
      <vt:lpstr>'JDM-9 Pg 3'!Print_Area</vt:lpstr>
      <vt:lpstr>'Lighting summary'!Print_Area</vt:lpstr>
      <vt:lpstr>'Pres &amp; Prop Rev'!Print_Area</vt:lpstr>
      <vt:lpstr>'Rate Design'!Print_Area</vt:lpstr>
      <vt:lpstr>'Rate Spread GRC'!Print_Area</vt:lpstr>
      <vt:lpstr>'REVRUNS 12ME0623'!Print_Area</vt:lpstr>
      <vt:lpstr>'St Lts'!Print_Area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Miller, Joe</cp:lastModifiedBy>
  <cp:lastPrinted>2024-08-07T16:53:27Z</cp:lastPrinted>
  <dcterms:created xsi:type="dcterms:W3CDTF">2002-06-14T21:00:48Z</dcterms:created>
  <dcterms:modified xsi:type="dcterms:W3CDTF">2024-08-13T16:20:36Z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