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acificorp.us\DFS\PDXCO\PSB1\SHARED\FILINGS\WA\2019 Dockets\UE-190908 Biennial Conservation Plan\6-23-22 Commerce Con Report - Refile\Filed docs\"/>
    </mc:Choice>
  </mc:AlternateContent>
  <xr:revisionPtr revIDLastSave="0" documentId="13_ncr:1_{E681A30E-C168-42CA-93AE-EC2326D863DF}" xr6:coauthVersionLast="47" xr6:coauthVersionMax="47" xr10:uidLastSave="{00000000-0000-0000-0000-000000000000}"/>
  <bookViews>
    <workbookView xWindow="6615" yWindow="1785" windowWidth="21600" windowHeight="11385" tabRatio="719" activeTab="1" xr2:uid="{00000000-000D-0000-FFFF-FFFF00000000}"/>
  </bookViews>
  <sheets>
    <sheet name="Background" sheetId="21" r:id="rId1"/>
    <sheet name="Conservation Report" sheetId="18" r:id="rId2"/>
    <sheet name="Data" sheetId="19" r:id="rId3"/>
  </sheet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Report'!$D$28</definedName>
    <definedName name="CON_2018_Industrial_Expend">'Conservation Report'!$D$18</definedName>
    <definedName name="CON_2018_Industrial_MWH">'Conservation Report'!$C$18</definedName>
    <definedName name="CON_2018_MWH">'Conservation Report'!$C$28</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Report'!$D$27</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Report'!$G$28</definedName>
    <definedName name="CON_2019_Industrial_Expend">'Conservation Report'!$G$18</definedName>
    <definedName name="CON_2019_Industrial_MWH">'Conservation Report'!$F$18</definedName>
    <definedName name="CON_2019_MWH">'Conservation Report'!$F$28</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Report'!$G$27</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Report'!$G$8</definedName>
    <definedName name="CON_Potential_2020_2029">'Conservation Report'!$I$8</definedName>
    <definedName name="CON_Report_Date">'Conservation Report'!$B$6</definedName>
    <definedName name="CON_Target_2018_2019">'Conservation Report'!$G$9</definedName>
    <definedName name="CON_Target_2020_2021">'Conservation Report'!$I$9</definedName>
    <definedName name="CON_Utility_Name">'Conservation Report'!$B$5</definedName>
    <definedName name="_xlnm.Print_Area" localSheetId="1">'Conservation Report'!$A$3:$I$34</definedName>
    <definedName name="UtilityList">#REF!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8" l="1"/>
  <c r="C28" i="18"/>
  <c r="G10" i="18" s="1"/>
  <c r="BA2" i="19" l="1"/>
  <c r="AX2" i="19"/>
  <c r="AZ2" i="19" l="1"/>
  <c r="AW2" i="19" l="1"/>
  <c r="A2" i="19" l="1"/>
  <c r="AS2" i="19" l="1"/>
  <c r="W2" i="19"/>
  <c r="E2" i="19"/>
  <c r="AY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8" i="18" l="1"/>
  <c r="AD2" i="19" s="1"/>
  <c r="AG2" i="19"/>
  <c r="B30" i="18" l="1"/>
  <c r="D28" i="18" l="1"/>
  <c r="H2" i="19" s="1"/>
  <c r="G11" i="18"/>
  <c r="K2" i="19" l="1"/>
</calcChain>
</file>

<file path=xl/sharedStrings.xml><?xml version="1.0" encoding="utf-8"?>
<sst xmlns="http://schemas.openxmlformats.org/spreadsheetml/2006/main" count="108" uniqueCount="101">
  <si>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</si>
  <si>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</si>
  <si>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</si>
  <si>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</si>
  <si>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</si>
  <si>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</si>
  <si>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</si>
  <si>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</si>
  <si>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</si>
  <si>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</si>
  <si>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</si>
  <si>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</si>
  <si>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 xml:space="preserve"> Distribution Efficiency</t>
  </si>
  <si>
    <t xml:space="preserve"> Production Efficiency</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</si>
  <si>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</si>
  <si>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</si>
  <si>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</si>
  <si>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</si>
  <si>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</si>
  <si>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</si>
  <si>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</si>
  <si>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</si>
  <si>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</si>
  <si>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</si>
  <si>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</si>
  <si>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</si>
  <si>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</si>
  <si>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</si>
  <si>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Biennial</t>
  </si>
  <si>
    <r>
      <t xml:space="preserve">Energy Independence Act (I-937) </t>
    </r>
    <r>
      <rPr>
        <sz val="11"/>
        <color rgb="FF000000"/>
        <rFont val="Arial Black"/>
        <family val="2"/>
      </rPr>
      <t>Conservation Report Workbook</t>
    </r>
  </si>
  <si>
    <t>CON_Potential_2018_2027</t>
  </si>
  <si>
    <t>CON_Target_2018_2019</t>
  </si>
  <si>
    <r>
      <t>Questions:</t>
    </r>
    <r>
      <rPr>
        <sz val="11"/>
        <color rgb="FF000000"/>
        <rFont val="Arial"/>
        <family val="2"/>
      </rPr>
      <t xml:space="preserve"> Glenn Blackmon, State Energy Office, (360) 339-5619, </t>
    </r>
    <r>
      <rPr>
        <b/>
        <sz val="11"/>
        <color theme="3"/>
        <rFont val="Arial"/>
        <family val="2"/>
      </rPr>
      <t>glenn.blackmon@commerce.wa.gov</t>
    </r>
  </si>
  <si>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</si>
  <si>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</si>
  <si>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</si>
  <si>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</si>
  <si>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</si>
  <si>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</si>
  <si>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</si>
  <si>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</si>
  <si>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</si>
  <si>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</si>
  <si>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</si>
  <si>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</si>
  <si>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</si>
  <si>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</si>
  <si>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</si>
  <si>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</si>
  <si>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</si>
  <si>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</si>
  <si>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</si>
  <si>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</si>
  <si>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</si>
  <si>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</si>
  <si>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</si>
  <si>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</si>
  <si>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</si>
  <si>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</si>
  <si>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</si>
  <si>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</si>
  <si>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</si>
  <si>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</si>
  <si>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</si>
  <si>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</si>
  <si>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</si>
  <si>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</si>
  <si>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</si>
  <si>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</si>
  <si>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</si>
  <si>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</si>
  <si>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</si>
  <si>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</si>
  <si>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</si>
  <si>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</si>
  <si>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</si>
  <si>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</si>
  <si>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t>Biennial Period</t>
  </si>
  <si>
    <t>Potential 2020-2029</t>
  </si>
  <si>
    <t>Target 2020-2021</t>
  </si>
  <si>
    <t>CON_Potential_2020_2029</t>
  </si>
  <si>
    <t>CON_Target_2020_2021</t>
  </si>
  <si>
    <t>2020-2021</t>
  </si>
  <si>
    <t>Excess (Deficit)</t>
  </si>
  <si>
    <t>Published March 31, 2020</t>
  </si>
  <si>
    <r>
      <t>Deadline:</t>
    </r>
    <r>
      <rPr>
        <sz val="11"/>
        <color rgb="FF000000"/>
        <rFont val="Arial"/>
        <family val="2"/>
      </rPr>
      <t xml:space="preserve"> June 1, 2020</t>
    </r>
  </si>
  <si>
    <t>Evals, system support, EULR, education, outreach &amp; communication</t>
  </si>
  <si>
    <t>PacifiCorp</t>
  </si>
  <si>
    <t>Cory Scott/Customer Solutions</t>
  </si>
  <si>
    <t>503-813-6011</t>
  </si>
  <si>
    <t>Cory.Scott@pacificorp.com</t>
  </si>
  <si>
    <r>
      <rPr>
        <sz val="12"/>
        <color theme="1"/>
        <rFont val="Arial"/>
        <family val="2"/>
      </rPr>
      <t xml:space="preserve">Energy Independence Act (I-937) </t>
    </r>
    <r>
      <rPr>
        <sz val="12"/>
        <color theme="1"/>
        <rFont val="Arial Black"/>
        <family val="2"/>
      </rPr>
      <t>Conservation Report 2020-2021</t>
    </r>
  </si>
  <si>
    <t>Target 2022-2023</t>
  </si>
  <si>
    <t>Achievement 2020-2021</t>
  </si>
  <si>
    <t>2020 Achievement</t>
  </si>
  <si>
    <t>2021 Achievement</t>
  </si>
  <si>
    <t>2022-2023</t>
  </si>
  <si>
    <t>Potential 2022-2031</t>
  </si>
  <si>
    <t>Potential and targets from 2020-2021 biennial conservation plan (revised 12/16/2019)</t>
  </si>
  <si>
    <t>Potential and target from 2022-2023 biennial conservation plan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</si>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</sst>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_);_(* \(#,##0.0\);_(* &quot;-&quot;??_);_(@_)"/>
    <numFmt numFmtId="165" formatCode="_(* #,##0_);_(* \(#,##0\);_(* &quot;-&quot;??_);_(@_)"/>
    <numFmt numFmtId="166" formatCode="[$-409]mmmm\ d\,\ yyyy;@"/>
    <numFmt numFmtId="167" formatCode="&quot;$&quot;#,##0"/>
    <numFmt numFmtId="168" formatCode="_(&quot;$&quot;* #,##0_);_(&quot;$&quot;* \(#,##0\);_(&quot;$&quot;* &quot;-&quot;??_);_(@_)"/>
  </numFmts>
  <fonts count="17"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
      <sz val="10"/>
      <color rgb="FFFF0000"/>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s>
  <cellStyleXfs count="5">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xf numFmtId="44" fontId="3" fillId="0" borderId="0" applyFont="0" applyFill="0" applyBorder="0" applyAlignment="0" applyProtection="0"/>
  </cellStyleXfs>
  <cellXfs count="83">
    <xf numFmtId="0" fontId="0" fillId="0" borderId="0" xfId="0"/>
    <xf numFmtId="0" fontId="5" fillId="2" borderId="0" xfId="0" applyFont="1" applyFill="1"/>
    <xf numFmtId="0" fontId="1" fillId="2" borderId="7" xfId="0" applyFont="1" applyFill="1" applyBorder="1" applyAlignment="1" applyProtection="1">
      <alignment horizontal="right"/>
    </xf>
    <xf numFmtId="0" fontId="0" fillId="0" borderId="0" xfId="0" applyNumberFormat="1"/>
    <xf numFmtId="0" fontId="12" fillId="4" borderId="0" xfId="0" applyFont="1" applyFill="1" applyBorder="1" applyAlignment="1">
      <alignment vertical="center" wrapText="1"/>
    </xf>
    <xf numFmtId="0" fontId="11" fillId="4" borderId="0" xfId="0" applyFont="1" applyFill="1" applyBorder="1" applyAlignment="1">
      <alignment vertical="center"/>
    </xf>
    <xf numFmtId="0" fontId="12" fillId="6" borderId="0"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8"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6" fontId="15"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168" fontId="5" fillId="6" borderId="12" xfId="1" applyNumberFormat="1" applyFont="1" applyFill="1" applyBorder="1" applyAlignment="1" applyProtection="1">
      <alignment horizontal="right"/>
      <protection locked="0"/>
    </xf>
    <xf numFmtId="3" fontId="5" fillId="6" borderId="4" xfId="0" applyNumberFormat="1" applyFont="1" applyFill="1" applyBorder="1" applyAlignment="1" applyProtection="1">
      <alignment horizontal="center"/>
      <protection locked="0"/>
    </xf>
    <xf numFmtId="165" fontId="5" fillId="2" borderId="0" xfId="1" applyNumberFormat="1" applyFont="1" applyFill="1" applyProtection="1"/>
    <xf numFmtId="3" fontId="5" fillId="2" borderId="0" xfId="0" applyNumberFormat="1" applyFont="1" applyFill="1" applyProtection="1"/>
    <xf numFmtId="165" fontId="5" fillId="2" borderId="0" xfId="0" applyNumberFormat="1" applyFont="1" applyFill="1" applyProtection="1"/>
    <xf numFmtId="0" fontId="5" fillId="0" borderId="0" xfId="0" applyFont="1" applyFill="1" applyProtection="1"/>
    <xf numFmtId="3" fontId="5" fillId="0" borderId="0" xfId="0" applyNumberFormat="1" applyFont="1" applyFill="1" applyProtection="1"/>
    <xf numFmtId="3" fontId="5" fillId="0" borderId="0" xfId="0" applyNumberFormat="1" applyFont="1" applyFill="1" applyBorder="1" applyProtection="1"/>
    <xf numFmtId="0" fontId="5" fillId="0" borderId="0" xfId="0" applyFont="1" applyFill="1" applyBorder="1" applyProtection="1"/>
    <xf numFmtId="0" fontId="1" fillId="0" borderId="0" xfId="0" applyFont="1" applyFill="1" applyAlignment="1">
      <alignment horizontal="right"/>
    </xf>
    <xf numFmtId="0" fontId="5" fillId="0" borderId="0" xfId="0" applyFont="1" applyFill="1" applyAlignment="1" applyProtection="1">
      <alignment horizontal="right"/>
    </xf>
    <xf numFmtId="0" fontId="2" fillId="0" borderId="19" xfId="0" applyFont="1" applyFill="1" applyBorder="1" applyAlignment="1">
      <alignment horizontal="center"/>
    </xf>
    <xf numFmtId="3" fontId="16" fillId="0" borderId="0" xfId="0" applyNumberFormat="1" applyFont="1" applyFill="1" applyProtection="1"/>
    <xf numFmtId="0" fontId="16" fillId="2" borderId="0" xfId="0" applyFont="1" applyFill="1" applyProtection="1"/>
    <xf numFmtId="0" fontId="16" fillId="0" borderId="0" xfId="0" applyFont="1" applyFill="1" applyProtection="1"/>
    <xf numFmtId="0" fontId="12" fillId="6" borderId="0"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6" borderId="22" xfId="0" applyFont="1" applyFill="1" applyBorder="1" applyAlignment="1" applyProtection="1">
      <alignment horizontal="left"/>
      <protection locked="0"/>
    </xf>
    <xf numFmtId="0" fontId="5" fillId="6" borderId="22" xfId="0" applyFont="1" applyFill="1" applyBorder="1" applyAlignment="1" applyProtection="1">
      <alignment horizontal="left"/>
      <protection locked="0"/>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cellXfs>
  <cellStyles count="5">
    <cellStyle name="Comma" xfId="1" builtinId="3"/>
    <cellStyle name="Currency 10" xfId="4" xr:uid="{00000000-0005-0000-0000-000001000000}"/>
    <cellStyle name="Hyperlink" xfId="2" builtinId="8"/>
    <cellStyle name="Normal" xfId="0" builtinId="0"/>
    <cellStyle name="Normal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32</xdr:row>
      <xdr:rowOff>352424</xdr:rowOff>
    </xdr:from>
    <xdr:to>
      <xdr:col>8</xdr:col>
      <xdr:colOff>695325</xdr:colOff>
      <xdr:row>64</xdr:row>
      <xdr:rowOff>112059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7210424"/>
          <a:ext cx="8557372" cy="82649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Potential is MWh at the generator; Targets and Achievements are MWh at the customer meter (at site).</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Excess conservation </a:t>
          </a:r>
          <a:r>
            <a:rPr lang="en-US" sz="1100" b="0">
              <a:solidFill>
                <a:schemeClr val="dk1"/>
              </a:solidFill>
              <a:effectLst/>
              <a:latin typeface="+mn-lt"/>
              <a:ea typeface="+mn-ea"/>
              <a:cs typeface="+mn-cs"/>
            </a:rPr>
            <a:t>from 2016-2017 of 2,718 MWh (at generator) or 2,488 MWh (at customer meter) was applied to the Company achieved conservation results for 2020-2021 and is not included in the table above. </a:t>
          </a:r>
          <a:endParaRPr lang="en-US">
            <a:effectLst/>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Excess conservation </a:t>
          </a:r>
          <a:r>
            <a:rPr lang="en-US" sz="1100" b="0">
              <a:solidFill>
                <a:schemeClr val="dk1"/>
              </a:solidFill>
              <a:effectLst/>
              <a:latin typeface="+mn-lt"/>
              <a:ea typeface="+mn-ea"/>
              <a:cs typeface="+mn-cs"/>
            </a:rPr>
            <a:t>from 2018-2019 of 2,336 MWh (at generator) or 2,135 MWh (at customer meter) was applied to the Company achieved conservation results for 2020-2021 and is not included in the table above. </a:t>
          </a:r>
          <a:endParaRPr lang="en-US">
            <a:effectLst/>
          </a:endParaRP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Company achieved conservation (excludes NEEA) of 64,897 MWh (at site) is short of the 86,979 MWh (at site) revised biennial target (or EIA penalty threshold) approved by WUTC and subject to penalty.  </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Total achieved conservation (includes NEEA) of 73,964 MWh (at site) is short of 93,189 MWh (at site) target tracked by the Washington Department of Commerce (or the EIA target).  See statute RCW19.285.070</a:t>
          </a:r>
          <a:r>
            <a:rPr lang="en-US" sz="1100">
              <a:solidFill>
                <a:schemeClr val="dk1"/>
              </a:solidFill>
              <a:effectLst/>
              <a:latin typeface="+mn-lt"/>
              <a:ea typeface="+mn-ea"/>
              <a:cs typeface="+mn-cs"/>
            </a:rPr>
            <a:t>.</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quantities submitted above include all areas of conservation effort and achievement, because the Commerce Conservation Report includes areas of conservation which are not included for target setting at the Washington Utilities and Transportation Commission (WUTC).</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Based on the provisions of House Bill 1446, the Company is considered in compliance with its biennial acquisition target given the COVID-19 pandemic</a:t>
          </a:r>
          <a:endParaRPr lang="en-US">
            <a:effectLst/>
          </a:endParaRPr>
        </a:p>
        <a:p>
          <a:r>
            <a:rPr lang="en-US" sz="1100">
              <a:solidFill>
                <a:schemeClr val="dk1"/>
              </a:solidFill>
              <a:effectLst/>
              <a:latin typeface="+mn-lt"/>
              <a:ea typeface="+mn-ea"/>
              <a:cs typeface="+mn-cs"/>
            </a:rPr>
            <a:t>1) Significantly impacted program services and performance and prevented the Company from meeting its conservation target, </a:t>
          </a:r>
          <a:endParaRPr lang="en-US">
            <a:effectLst/>
          </a:endParaRPr>
        </a:p>
        <a:p>
          <a:r>
            <a:rPr lang="en-US" sz="1100">
              <a:solidFill>
                <a:schemeClr val="dk1"/>
              </a:solidFill>
              <a:effectLst/>
              <a:latin typeface="+mn-lt"/>
              <a:ea typeface="+mn-ea"/>
              <a:cs typeface="+mn-cs"/>
            </a:rPr>
            <a:t>2) Was beyond the reasonable control of the Company and could not have been reasonably anticipated in 2019 when the 2020-2021 biennial conservation target was established, and</a:t>
          </a:r>
          <a:endParaRPr lang="en-US">
            <a:effectLst/>
          </a:endParaRPr>
        </a:p>
        <a:p>
          <a:r>
            <a:rPr lang="en-US" sz="1100">
              <a:solidFill>
                <a:schemeClr val="dk1"/>
              </a:solidFill>
              <a:effectLst/>
              <a:latin typeface="+mn-lt"/>
              <a:ea typeface="+mn-ea"/>
              <a:cs typeface="+mn-cs"/>
            </a:rPr>
            <a:t>3) Meets the criteria of “natural disasters resulting in the issuance of extended emergency declarations” given Governor Jay Inslee declared a State of Emergency on February 29, 2020, and the State of Emergency was still in place at the end of 2021.</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December 17, 2019, the Commission approved a target at the customer meter of 86,979 MWh (equivalent to 95,108 MWh at gen) for the 2020-2021 biennium in Order 01 in Docket UE-190908 in accordance with WAC 480-109-120. The Commission approved target does not include savings forecasted by NEEA.  Table 1 in Order 01 displaying savings at both the generator and customer meter is the source of the target values listed in this report.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Brief description of the methodology used to establish the utility’s ten-year potential and biennial target to capture cost effective conservation: </a:t>
          </a:r>
          <a:endParaRPr lang="en-US">
            <a:effectLst/>
          </a:endParaRPr>
        </a:p>
        <a:p>
          <a:r>
            <a:rPr lang="en-US" sz="1100">
              <a:solidFill>
                <a:schemeClr val="dk1"/>
              </a:solidFill>
              <a:effectLst/>
              <a:latin typeface="+mn-lt"/>
              <a:ea typeface="+mn-ea"/>
              <a:cs typeface="+mn-cs"/>
            </a:rPr>
            <a:t>PacifiCorp relied on 1) its “PacifiCorp Conservation Potential Assessment for 2019-2038" (June 30, 2019), 2) economic screening of the conservation potential identified through the 2019 Integrated Resource Plan (IRP), specifically price policy scenario P-18, and 3) other post IRP adjustments (all documented in Appendix 1 of the PacifiCorp’s ten-year conservation potential and 2020-2021 biennial conservation target report) to establish its ten-year conservation forecast and biennial conservation target. </a:t>
          </a:r>
          <a:endParaRPr lang="en-US">
            <a:effectLst/>
          </a:endParaRPr>
        </a:p>
        <a:p>
          <a:pPr eaLnBrk="1" fontAlgn="auto" latinLnBrk="0" hangingPunct="1"/>
          <a:r>
            <a:rPr lang="en-US" sz="1100">
              <a:solidFill>
                <a:schemeClr val="dk1"/>
              </a:solidFill>
              <a:effectLst/>
              <a:latin typeface="+mn-lt"/>
              <a:ea typeface="+mn-ea"/>
              <a:cs typeface="+mn-cs"/>
            </a:rPr>
            <a:t> </a:t>
          </a:r>
          <a:endParaRPr lang="en-US">
            <a:effectLst/>
          </a:endParaRPr>
        </a:p>
        <a:p>
          <a:pPr eaLnBrk="1" fontAlgn="auto" latinLnBrk="0" hangingPunct="1"/>
          <a:r>
            <a:rPr lang="en-US" sz="1100">
              <a:solidFill>
                <a:schemeClr val="dk1"/>
              </a:solidFill>
              <a:effectLst/>
              <a:latin typeface="+mn-lt"/>
              <a:ea typeface="+mn-ea"/>
              <a:cs typeface="+mn-cs"/>
            </a:rPr>
            <a:t>The way in which the Company arrived at its 2020 -2021 biennial conservation target is explained on pages 14-26 of “PacifiCorp’s 2020-2021 Biennial Conservation Plan for its Washington Service Area” filed in Docket UE-190908 (revised 12/16/2019).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Company’s engagement with the Washington DSM Advisory Group during the development of the 2020-2021 target is outlined in the on pages 9-13 of “PacifiCorp’s Biennial Conservation Plan for its Washington Service Area” filed in Docket UE-190908 (revised 12/16/2019).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commission accepted the company’s forecast and target as meeting the requirements to consider all conservation resources that are cost-effective, reliable, and feasible by approval of the Company’s forecast and targets in Docket UE-190098 on December 17, 2019.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Information on Pacific Power's approved 2020 - 2021 target is available in Docket UE-190908. </a:t>
          </a:r>
          <a:endParaRPr lang="en-US">
            <a:effectLst/>
          </a:endParaRPr>
        </a:p>
        <a:p>
          <a:endParaRPr lang="en-US" sz="1100"/>
        </a:p>
      </xdr:txBody>
    </xdr:sp>
    <xdr:clientData/>
  </xdr:twoCellAnchor>
  <xdr:twoCellAnchor editAs="oneCell">
    <xdr:from>
      <xdr:col>22</xdr:col>
      <xdr:colOff>581025</xdr:colOff>
      <xdr:row>5</xdr:row>
      <xdr:rowOff>1</xdr:rowOff>
    </xdr:from>
    <xdr:to>
      <xdr:col>31</xdr:col>
      <xdr:colOff>590550</xdr:colOff>
      <xdr:row>24</xdr:row>
      <xdr:rowOff>44959</xdr:rowOff>
    </xdr:to>
    <xdr:pic>
      <xdr:nvPicPr>
        <xdr:cNvPr id="5" name="Picture 4">
          <a:extLst>
            <a:ext uri="{FF2B5EF4-FFF2-40B4-BE49-F238E27FC236}">
              <a16:creationId xmlns:a16="http://schemas.microsoft.com/office/drawing/2014/main" id="{6E3526C4-A7E1-4024-B385-BFDC38DAFA33}"/>
            </a:ext>
          </a:extLst>
        </xdr:cNvPr>
        <xdr:cNvPicPr>
          <a:picLocks noChangeAspect="1"/>
        </xdr:cNvPicPr>
      </xdr:nvPicPr>
      <xdr:blipFill>
        <a:blip xmlns:r="http://schemas.openxmlformats.org/officeDocument/2006/relationships" r:embed="rId1"/>
        <a:stretch>
          <a:fillRect/>
        </a:stretch>
      </xdr:blipFill>
      <xdr:spPr>
        <a:xfrm>
          <a:off x="17487900" y="1000126"/>
          <a:ext cx="5495925" cy="3810508"/>
        </a:xfrm>
        <a:prstGeom prst="rect">
          <a:avLst/>
        </a:prstGeom>
      </xdr:spPr>
    </xdr:pic>
    <xdr:clientData/>
  </xdr:twoCellAnchor>
  <xdr:twoCellAnchor editAs="oneCell">
    <xdr:from>
      <xdr:col>14</xdr:col>
      <xdr:colOff>9525</xdr:colOff>
      <xdr:row>4</xdr:row>
      <xdr:rowOff>133351</xdr:rowOff>
    </xdr:from>
    <xdr:to>
      <xdr:col>22</xdr:col>
      <xdr:colOff>545580</xdr:colOff>
      <xdr:row>24</xdr:row>
      <xdr:rowOff>133351</xdr:rowOff>
    </xdr:to>
    <xdr:pic>
      <xdr:nvPicPr>
        <xdr:cNvPr id="6" name="Picture 5">
          <a:extLst>
            <a:ext uri="{FF2B5EF4-FFF2-40B4-BE49-F238E27FC236}">
              <a16:creationId xmlns:a16="http://schemas.microsoft.com/office/drawing/2014/main" id="{16661838-063F-4239-A192-823FBD85D2B9}"/>
            </a:ext>
          </a:extLst>
        </xdr:cNvPr>
        <xdr:cNvPicPr>
          <a:picLocks noChangeAspect="1"/>
        </xdr:cNvPicPr>
      </xdr:nvPicPr>
      <xdr:blipFill>
        <a:blip xmlns:r="http://schemas.openxmlformats.org/officeDocument/2006/relationships" r:embed="rId2"/>
        <a:stretch>
          <a:fillRect/>
        </a:stretch>
      </xdr:blipFill>
      <xdr:spPr>
        <a:xfrm>
          <a:off x="12039600" y="952501"/>
          <a:ext cx="5409680" cy="3943350"/>
        </a:xfrm>
        <a:prstGeom prst="rect">
          <a:avLst/>
        </a:prstGeom>
      </xdr:spPr>
    </xdr:pic>
    <xdr:clientData/>
  </xdr:twoCellAnchor>
  <xdr:twoCellAnchor editAs="oneCell">
    <xdr:from>
      <xdr:col>14</xdr:col>
      <xdr:colOff>238125</xdr:colOff>
      <xdr:row>24</xdr:row>
      <xdr:rowOff>104775</xdr:rowOff>
    </xdr:from>
    <xdr:to>
      <xdr:col>22</xdr:col>
      <xdr:colOff>361950</xdr:colOff>
      <xdr:row>33</xdr:row>
      <xdr:rowOff>27284</xdr:rowOff>
    </xdr:to>
    <xdr:pic>
      <xdr:nvPicPr>
        <xdr:cNvPr id="7" name="Picture 6">
          <a:extLst>
            <a:ext uri="{FF2B5EF4-FFF2-40B4-BE49-F238E27FC236}">
              <a16:creationId xmlns:a16="http://schemas.microsoft.com/office/drawing/2014/main" id="{218A3F90-D441-4472-867A-17F90A96A0A7}"/>
            </a:ext>
          </a:extLst>
        </xdr:cNvPr>
        <xdr:cNvPicPr>
          <a:picLocks noChangeAspect="1"/>
        </xdr:cNvPicPr>
      </xdr:nvPicPr>
      <xdr:blipFill>
        <a:blip xmlns:r="http://schemas.openxmlformats.org/officeDocument/2006/relationships" r:embed="rId3"/>
        <a:stretch>
          <a:fillRect/>
        </a:stretch>
      </xdr:blipFill>
      <xdr:spPr>
        <a:xfrm>
          <a:off x="12268200" y="4867275"/>
          <a:ext cx="5000625" cy="2402184"/>
        </a:xfrm>
        <a:prstGeom prst="rect">
          <a:avLst/>
        </a:prstGeom>
      </xdr:spPr>
    </xdr:pic>
    <xdr:clientData/>
  </xdr:twoCellAnchor>
  <xdr:twoCellAnchor editAs="oneCell">
    <xdr:from>
      <xdr:col>23</xdr:col>
      <xdr:colOff>581025</xdr:colOff>
      <xdr:row>23</xdr:row>
      <xdr:rowOff>142875</xdr:rowOff>
    </xdr:from>
    <xdr:to>
      <xdr:col>32</xdr:col>
      <xdr:colOff>431133</xdr:colOff>
      <xdr:row>32</xdr:row>
      <xdr:rowOff>241000</xdr:rowOff>
    </xdr:to>
    <xdr:pic>
      <xdr:nvPicPr>
        <xdr:cNvPr id="8" name="Picture 7">
          <a:extLst>
            <a:ext uri="{FF2B5EF4-FFF2-40B4-BE49-F238E27FC236}">
              <a16:creationId xmlns:a16="http://schemas.microsoft.com/office/drawing/2014/main" id="{529F8F84-9180-4DFC-A392-74FD1E41ACBB}"/>
            </a:ext>
          </a:extLst>
        </xdr:cNvPr>
        <xdr:cNvPicPr>
          <a:picLocks noChangeAspect="1"/>
        </xdr:cNvPicPr>
      </xdr:nvPicPr>
      <xdr:blipFill>
        <a:blip xmlns:r="http://schemas.openxmlformats.org/officeDocument/2006/relationships" r:embed="rId4"/>
        <a:stretch>
          <a:fillRect/>
        </a:stretch>
      </xdr:blipFill>
      <xdr:spPr>
        <a:xfrm>
          <a:off x="18097500" y="4714875"/>
          <a:ext cx="5333333" cy="24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ry.Scott@pacificorp.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N9"/>
  <sheetViews>
    <sheetView workbookViewId="0">
      <selection activeCell="A4" sqref="A4"/>
    </sheetView>
  </sheetViews>
  <sheetFormatPr defaultColWidth="8.85546875" defaultRowHeight="15" x14ac:dyDescent="0.25"/>
  <cols>
    <col min="1" max="1" width="135.140625" customWidth="1"/>
    <col min="14" max="14" width="11.7109375" customWidth="1"/>
  </cols>
  <sheetData>
    <row r="1" spans="1:14" ht="18.75" x14ac:dyDescent="0.25">
      <c r="A1" s="5" t="s">
        <v>29</v>
      </c>
    </row>
    <row r="2" spans="1:14" x14ac:dyDescent="0.25">
      <c r="A2" s="44" t="s">
        <v>84</v>
      </c>
    </row>
    <row r="3" spans="1:14" x14ac:dyDescent="0.25">
      <c r="A3" s="5"/>
      <c r="N3" s="3"/>
    </row>
    <row r="4" spans="1:14" x14ac:dyDescent="0.25">
      <c r="A4" s="4" t="s">
        <v>85</v>
      </c>
    </row>
    <row r="5" spans="1:14" x14ac:dyDescent="0.25">
      <c r="A5" s="4" t="s">
        <v>23</v>
      </c>
    </row>
    <row r="6" spans="1:14" x14ac:dyDescent="0.25">
      <c r="A6" s="4" t="s">
        <v>32</v>
      </c>
    </row>
    <row r="8" spans="1:14" x14ac:dyDescent="0.25">
      <c r="A8" s="6" t="s">
        <v>25</v>
      </c>
    </row>
    <row r="9" spans="1:14" x14ac:dyDescent="0.25">
      <c r="A9" s="7" t="s">
        <v>26</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pageSetUpPr fitToPage="1"/>
  </sheetPr>
  <dimension ref="A1:X53"/>
  <sheetViews>
    <sheetView tabSelected="1" view="pageBreakPreview" zoomScale="85" zoomScaleNormal="55" zoomScaleSheetLayoutView="85" workbookViewId="0">
      <selection activeCell="G7" sqref="G7"/>
    </sheetView>
  </sheetViews>
  <sheetFormatPr defaultColWidth="9.140625" defaultRowHeight="12.75" x14ac:dyDescent="0.2"/>
  <cols>
    <col min="1" max="2" width="16.7109375" style="14" customWidth="1"/>
    <col min="3" max="3" width="17.140625" style="14" customWidth="1"/>
    <col min="4" max="4" width="16" style="14" customWidth="1"/>
    <col min="5" max="5" width="4.42578125" style="14" customWidth="1"/>
    <col min="6" max="6" width="14.42578125" style="14" customWidth="1"/>
    <col min="7" max="7" width="15.42578125" style="14" customWidth="1"/>
    <col min="8" max="8" width="17.85546875" style="14" customWidth="1"/>
    <col min="9" max="9" width="13.42578125" style="14" customWidth="1"/>
    <col min="10" max="10" width="9.140625" style="14"/>
    <col min="11" max="11" width="11.7109375" style="14" customWidth="1"/>
    <col min="12" max="16384" width="9.140625" style="14"/>
  </cols>
  <sheetData>
    <row r="1" spans="1:24" ht="15" x14ac:dyDescent="0.2">
      <c r="A1" s="63" t="s">
        <v>25</v>
      </c>
      <c r="B1" s="63"/>
      <c r="C1" s="63"/>
      <c r="D1" s="63"/>
      <c r="E1" s="63"/>
      <c r="F1" s="63"/>
      <c r="G1" s="63"/>
      <c r="H1" s="63"/>
      <c r="I1" s="63"/>
    </row>
    <row r="2" spans="1:24" ht="15" x14ac:dyDescent="0.2">
      <c r="A2" s="64" t="s">
        <v>26</v>
      </c>
      <c r="B2" s="64"/>
      <c r="C2" s="64"/>
      <c r="D2" s="64"/>
      <c r="E2" s="64"/>
      <c r="F2" s="64"/>
      <c r="G2" s="64"/>
      <c r="H2" s="64"/>
      <c r="I2" s="64"/>
    </row>
    <row r="3" spans="1:24" s="16" customFormat="1" ht="19.5" x14ac:dyDescent="0.4">
      <c r="A3" s="15" t="s">
        <v>91</v>
      </c>
    </row>
    <row r="4" spans="1:24" ht="15" customHeight="1" thickBot="1" x14ac:dyDescent="0.25">
      <c r="A4" s="17"/>
      <c r="O4" s="14" t="s">
        <v>98</v>
      </c>
      <c r="X4" s="14" t="s">
        <v>99</v>
      </c>
    </row>
    <row r="5" spans="1:24" ht="14.25" customHeight="1" thickBot="1" x14ac:dyDescent="0.25">
      <c r="A5" s="20" t="s">
        <v>3</v>
      </c>
      <c r="B5" s="71" t="s">
        <v>87</v>
      </c>
      <c r="C5" s="72"/>
      <c r="D5" s="72"/>
      <c r="F5" s="73" t="s">
        <v>27</v>
      </c>
      <c r="G5" s="73"/>
      <c r="H5" s="73"/>
      <c r="I5" s="73"/>
      <c r="K5" s="19"/>
    </row>
    <row r="6" spans="1:24" ht="15" customHeight="1" x14ac:dyDescent="0.2">
      <c r="A6" s="20" t="s">
        <v>17</v>
      </c>
      <c r="B6" s="74">
        <v>44735</v>
      </c>
      <c r="C6" s="75"/>
      <c r="D6" s="75"/>
      <c r="E6" s="21"/>
      <c r="F6" s="1"/>
      <c r="G6" s="41" t="s">
        <v>82</v>
      </c>
      <c r="I6" s="59" t="s">
        <v>96</v>
      </c>
      <c r="J6" s="14" t="s">
        <v>100</v>
      </c>
    </row>
    <row r="7" spans="1:24" ht="15" customHeight="1" x14ac:dyDescent="0.2">
      <c r="A7" s="22" t="s">
        <v>16</v>
      </c>
      <c r="B7" s="76" t="s">
        <v>88</v>
      </c>
      <c r="C7" s="77"/>
      <c r="D7" s="77"/>
      <c r="E7" s="16"/>
      <c r="F7" s="1"/>
      <c r="G7" s="42" t="s">
        <v>28</v>
      </c>
      <c r="I7" s="42" t="s">
        <v>28</v>
      </c>
      <c r="K7" s="53"/>
      <c r="L7" s="53"/>
      <c r="M7" s="53"/>
      <c r="N7" s="53"/>
      <c r="O7" s="53"/>
      <c r="P7" s="53"/>
    </row>
    <row r="8" spans="1:24" ht="15" customHeight="1" x14ac:dyDescent="0.2">
      <c r="A8" s="22" t="s">
        <v>0</v>
      </c>
      <c r="B8" s="77" t="s">
        <v>89</v>
      </c>
      <c r="C8" s="77"/>
      <c r="D8" s="77"/>
      <c r="E8" s="16"/>
      <c r="F8" s="58" t="s">
        <v>78</v>
      </c>
      <c r="G8" s="45">
        <v>509495</v>
      </c>
      <c r="H8" s="58" t="s">
        <v>97</v>
      </c>
      <c r="I8" s="45">
        <v>505954</v>
      </c>
      <c r="K8" s="62"/>
      <c r="L8" s="53"/>
      <c r="M8" s="53"/>
      <c r="N8" s="53"/>
      <c r="O8" s="53"/>
      <c r="P8" s="53"/>
    </row>
    <row r="9" spans="1:24" ht="15" customHeight="1" x14ac:dyDescent="0.2">
      <c r="A9" s="22" t="s">
        <v>1</v>
      </c>
      <c r="B9" s="78" t="s">
        <v>90</v>
      </c>
      <c r="C9" s="79"/>
      <c r="D9" s="79"/>
      <c r="E9" s="16"/>
      <c r="F9" s="43" t="s">
        <v>79</v>
      </c>
      <c r="G9" s="46">
        <v>93189</v>
      </c>
      <c r="H9" s="57" t="s">
        <v>92</v>
      </c>
      <c r="I9" s="46">
        <v>94210</v>
      </c>
      <c r="K9" s="60"/>
      <c r="L9" s="53"/>
      <c r="M9" s="53"/>
      <c r="N9" s="53"/>
      <c r="O9" s="53"/>
      <c r="P9" s="53"/>
    </row>
    <row r="10" spans="1:24" ht="15" customHeight="1" thickBot="1" x14ac:dyDescent="0.25">
      <c r="A10" s="22"/>
      <c r="B10" s="22"/>
      <c r="C10" s="22"/>
      <c r="D10" s="22"/>
      <c r="E10" s="16"/>
      <c r="F10" s="43" t="s">
        <v>93</v>
      </c>
      <c r="G10" s="47">
        <f>CON_2018_MWH+CON_2019_MWH</f>
        <v>69341.09006444992</v>
      </c>
      <c r="I10" s="1"/>
      <c r="K10" s="60"/>
      <c r="L10" s="53"/>
      <c r="M10" s="53"/>
      <c r="N10" s="53"/>
      <c r="O10" s="53"/>
      <c r="P10" s="53"/>
    </row>
    <row r="11" spans="1:24" s="16" customFormat="1" ht="13.5" thickBot="1" x14ac:dyDescent="0.25">
      <c r="E11" s="23"/>
      <c r="F11" s="14" t="s">
        <v>83</v>
      </c>
      <c r="G11" s="47">
        <f>G10-CON_Target_2018_2019</f>
        <v>-23847.90993555008</v>
      </c>
      <c r="H11" s="14"/>
      <c r="I11" s="14"/>
      <c r="K11" s="55"/>
      <c r="L11" s="56"/>
      <c r="M11" s="56"/>
      <c r="N11" s="56"/>
      <c r="O11" s="56"/>
      <c r="P11" s="56"/>
    </row>
    <row r="12" spans="1:24" s="16" customFormat="1" ht="13.5" thickBot="1" x14ac:dyDescent="0.25">
      <c r="E12" s="23"/>
      <c r="F12" s="14"/>
      <c r="G12" s="14"/>
      <c r="H12" s="14"/>
      <c r="I12" s="14"/>
      <c r="K12" s="56"/>
      <c r="L12" s="56"/>
      <c r="M12" s="56"/>
      <c r="N12" s="56"/>
      <c r="O12" s="56"/>
      <c r="P12" s="56"/>
    </row>
    <row r="13" spans="1:24" ht="13.5" thickTop="1" x14ac:dyDescent="0.2">
      <c r="A13" s="66" t="s">
        <v>2</v>
      </c>
      <c r="B13" s="66"/>
      <c r="C13" s="66"/>
      <c r="D13" s="66"/>
      <c r="E13" s="66"/>
      <c r="F13" s="66"/>
      <c r="G13" s="66"/>
      <c r="K13" s="53"/>
      <c r="L13" s="53"/>
      <c r="M13" s="53"/>
      <c r="N13" s="53"/>
      <c r="O13" s="53"/>
      <c r="P13" s="53"/>
    </row>
    <row r="14" spans="1:24" ht="15" customHeight="1" x14ac:dyDescent="0.2">
      <c r="A14" s="24"/>
      <c r="C14" s="69" t="s">
        <v>94</v>
      </c>
      <c r="D14" s="69"/>
      <c r="F14" s="70" t="s">
        <v>95</v>
      </c>
      <c r="G14" s="70"/>
      <c r="K14" s="54"/>
      <c r="L14" s="53"/>
      <c r="M14" s="53"/>
      <c r="N14" s="53"/>
      <c r="O14" s="53"/>
      <c r="P14" s="53"/>
    </row>
    <row r="15" spans="1:24" ht="30.75" customHeight="1" x14ac:dyDescent="0.2">
      <c r="B15" s="25" t="s">
        <v>14</v>
      </c>
      <c r="C15" s="26" t="s">
        <v>6</v>
      </c>
      <c r="D15" s="26" t="s">
        <v>7</v>
      </c>
      <c r="F15" s="40" t="s">
        <v>6</v>
      </c>
      <c r="G15" s="40" t="s">
        <v>7</v>
      </c>
      <c r="H15" s="61"/>
      <c r="K15" s="54"/>
      <c r="L15" s="53"/>
      <c r="M15" s="53"/>
      <c r="N15" s="53"/>
      <c r="O15" s="53"/>
      <c r="P15" s="53"/>
    </row>
    <row r="16" spans="1:24" ht="15" customHeight="1" x14ac:dyDescent="0.2">
      <c r="B16" s="2" t="s">
        <v>8</v>
      </c>
      <c r="C16" s="9">
        <v>10538.709660000008</v>
      </c>
      <c r="D16" s="48">
        <v>3278905.439999999</v>
      </c>
      <c r="F16" s="9">
        <v>2427.3534100000206</v>
      </c>
      <c r="G16" s="48">
        <v>4690442.7217727797</v>
      </c>
      <c r="K16" s="55"/>
      <c r="L16" s="56"/>
      <c r="M16" s="53"/>
      <c r="N16" s="53"/>
      <c r="O16" s="53"/>
      <c r="P16" s="53"/>
    </row>
    <row r="17" spans="1:16" ht="15" customHeight="1" x14ac:dyDescent="0.2">
      <c r="B17" s="2" t="s">
        <v>9</v>
      </c>
      <c r="C17" s="9">
        <v>21182.3207</v>
      </c>
      <c r="D17" s="48">
        <v>4190443.1580148195</v>
      </c>
      <c r="F17" s="9">
        <v>13667.857470000001</v>
      </c>
      <c r="G17" s="48">
        <v>4049997.3184526875</v>
      </c>
      <c r="K17" s="53"/>
      <c r="L17" s="53"/>
      <c r="M17" s="53"/>
      <c r="N17" s="53"/>
      <c r="O17" s="53"/>
      <c r="P17" s="53"/>
    </row>
    <row r="18" spans="1:16" ht="15" customHeight="1" x14ac:dyDescent="0.2">
      <c r="B18" s="2" t="s">
        <v>10</v>
      </c>
      <c r="C18" s="9">
        <v>6864.6279999999997</v>
      </c>
      <c r="D18" s="48">
        <v>1327511.605655622</v>
      </c>
      <c r="F18" s="9">
        <v>4294.8010000000004</v>
      </c>
      <c r="G18" s="48">
        <v>1602222.4774870602</v>
      </c>
      <c r="K18" s="53"/>
      <c r="L18" s="53"/>
      <c r="M18" s="53"/>
      <c r="N18" s="53"/>
      <c r="O18" s="53"/>
      <c r="P18" s="53"/>
    </row>
    <row r="19" spans="1:16" ht="15" customHeight="1" x14ac:dyDescent="0.2">
      <c r="B19" s="2" t="s">
        <v>11</v>
      </c>
      <c r="C19" s="9">
        <v>803.34199999999998</v>
      </c>
      <c r="D19" s="48">
        <v>258275.44632955809</v>
      </c>
      <c r="F19" s="9">
        <v>495.61790000000002</v>
      </c>
      <c r="G19" s="48">
        <v>197848.16406025217</v>
      </c>
      <c r="K19" s="50"/>
    </row>
    <row r="20" spans="1:16" ht="15" customHeight="1" x14ac:dyDescent="0.2">
      <c r="B20" s="2" t="s">
        <v>12</v>
      </c>
      <c r="C20" s="9"/>
      <c r="D20" s="10"/>
      <c r="F20" s="9"/>
      <c r="G20" s="10"/>
      <c r="K20" s="50"/>
    </row>
    <row r="21" spans="1:16" ht="15" customHeight="1" x14ac:dyDescent="0.2">
      <c r="B21" s="27" t="s">
        <v>13</v>
      </c>
      <c r="C21" s="9"/>
      <c r="D21" s="10"/>
      <c r="F21" s="9"/>
      <c r="G21" s="10"/>
      <c r="K21" s="50"/>
    </row>
    <row r="22" spans="1:16" ht="15" customHeight="1" x14ac:dyDescent="0.2">
      <c r="B22" s="27" t="s">
        <v>4</v>
      </c>
      <c r="C22" s="11">
        <v>4479.4599244498868</v>
      </c>
      <c r="D22" s="48">
        <v>1002230.51</v>
      </c>
      <c r="F22" s="49">
        <v>4587</v>
      </c>
      <c r="G22" s="48">
        <v>792519.08</v>
      </c>
      <c r="K22" s="50"/>
    </row>
    <row r="23" spans="1:16" ht="15" customHeight="1" x14ac:dyDescent="0.2">
      <c r="B23" s="12"/>
      <c r="C23" s="11"/>
      <c r="D23" s="10"/>
      <c r="F23" s="11"/>
      <c r="G23" s="10"/>
      <c r="H23" s="61"/>
      <c r="K23" s="51"/>
    </row>
    <row r="24" spans="1:16" ht="15" customHeight="1" x14ac:dyDescent="0.2">
      <c r="B24" s="12"/>
      <c r="C24" s="11"/>
      <c r="D24" s="10"/>
      <c r="F24" s="11"/>
      <c r="G24" s="10"/>
      <c r="H24" s="61"/>
      <c r="K24" s="52"/>
    </row>
    <row r="25" spans="1:16" ht="30.75" customHeight="1" x14ac:dyDescent="0.2">
      <c r="A25" s="67" t="s">
        <v>15</v>
      </c>
      <c r="B25" s="68"/>
      <c r="D25" s="28"/>
      <c r="G25" s="28"/>
      <c r="H25" s="61"/>
      <c r="K25" s="52"/>
    </row>
    <row r="26" spans="1:16" ht="50.25" customHeight="1" x14ac:dyDescent="0.2">
      <c r="B26" s="13" t="s">
        <v>86</v>
      </c>
      <c r="C26" s="29"/>
      <c r="D26" s="48">
        <v>783125.46000000008</v>
      </c>
      <c r="F26" s="29"/>
      <c r="G26" s="48">
        <v>701422.30999999994</v>
      </c>
      <c r="H26" s="61"/>
      <c r="K26" s="50"/>
    </row>
    <row r="27" spans="1:16" ht="15" customHeight="1" x14ac:dyDescent="0.2">
      <c r="B27" s="13"/>
      <c r="C27" s="30"/>
      <c r="D27" s="10"/>
      <c r="F27" s="30"/>
      <c r="G27" s="10"/>
    </row>
    <row r="28" spans="1:16" ht="15" customHeight="1" x14ac:dyDescent="0.2">
      <c r="B28" s="31" t="s">
        <v>5</v>
      </c>
      <c r="C28" s="32">
        <f>SUM(C16:C24)</f>
        <v>43868.460284449895</v>
      </c>
      <c r="D28" s="33">
        <f>SUM(D16:D27)</f>
        <v>10840491.619999999</v>
      </c>
      <c r="F28" s="32">
        <f>SUM(F16:F24)</f>
        <v>25472.629780000021</v>
      </c>
      <c r="G28" s="33">
        <f>SUM(G16:G27)</f>
        <v>12034452.071772778</v>
      </c>
      <c r="H28" s="61"/>
      <c r="K28" s="50"/>
    </row>
    <row r="29" spans="1:16" ht="15" customHeight="1" x14ac:dyDescent="0.2">
      <c r="A29" s="34"/>
      <c r="B29" s="35"/>
      <c r="C29" s="36"/>
      <c r="D29" s="35"/>
      <c r="E29" s="36"/>
      <c r="K29" s="50"/>
    </row>
    <row r="30" spans="1:16" s="16" customFormat="1" ht="15" customHeight="1" x14ac:dyDescent="0.2">
      <c r="A30" s="18" t="s">
        <v>3</v>
      </c>
      <c r="B30" s="65" t="str">
        <f>CON_Utility_Name</f>
        <v>PacifiCorp</v>
      </c>
      <c r="C30" s="65"/>
      <c r="D30" s="65"/>
      <c r="E30" s="65"/>
      <c r="F30" s="14"/>
      <c r="G30" s="14"/>
    </row>
    <row r="31" spans="1:16" s="16" customFormat="1" x14ac:dyDescent="0.2">
      <c r="A31" s="37" t="s">
        <v>77</v>
      </c>
      <c r="B31" s="81" t="s">
        <v>82</v>
      </c>
      <c r="C31" s="81"/>
      <c r="D31" s="81"/>
      <c r="E31" s="81"/>
    </row>
    <row r="32" spans="1:16" s="16" customFormat="1" x14ac:dyDescent="0.2">
      <c r="A32" s="37"/>
      <c r="B32" s="38"/>
      <c r="C32" s="38"/>
      <c r="D32" s="38"/>
      <c r="E32" s="38"/>
    </row>
    <row r="33" spans="1:9" ht="28.5" customHeight="1" x14ac:dyDescent="0.2">
      <c r="A33" s="80" t="s">
        <v>24</v>
      </c>
      <c r="B33" s="80"/>
      <c r="C33" s="80"/>
      <c r="D33" s="80"/>
      <c r="E33" s="80"/>
      <c r="F33" s="80"/>
      <c r="G33" s="80"/>
      <c r="H33" s="80"/>
      <c r="I33" s="80"/>
    </row>
    <row r="34" spans="1:9" s="8" customFormat="1" ht="270.75" customHeight="1" x14ac:dyDescent="0.2">
      <c r="A34" s="82"/>
      <c r="B34" s="82"/>
      <c r="C34" s="82"/>
      <c r="D34" s="82"/>
      <c r="E34" s="82"/>
      <c r="F34" s="82"/>
      <c r="G34" s="82"/>
      <c r="H34" s="82"/>
      <c r="I34" s="82"/>
    </row>
    <row r="35" spans="1:9" s="8" customFormat="1" x14ac:dyDescent="0.2"/>
    <row r="36" spans="1:9" s="8" customFormat="1" x14ac:dyDescent="0.2"/>
    <row r="37" spans="1:9" s="8" customFormat="1" x14ac:dyDescent="0.2"/>
    <row r="38" spans="1:9" s="8" customFormat="1" x14ac:dyDescent="0.2"/>
    <row r="39" spans="1:9" s="8" customFormat="1" x14ac:dyDescent="0.2"/>
    <row r="40" spans="1:9" s="8" customFormat="1" x14ac:dyDescent="0.2"/>
    <row r="41" spans="1:9" s="8" customFormat="1" x14ac:dyDescent="0.2"/>
    <row r="42" spans="1:9" s="8" customFormat="1" x14ac:dyDescent="0.2"/>
    <row r="43" spans="1:9" s="8" customFormat="1" x14ac:dyDescent="0.2"/>
    <row r="44" spans="1:9" s="8" customFormat="1" x14ac:dyDescent="0.2"/>
    <row r="45" spans="1:9" s="8" customFormat="1" x14ac:dyDescent="0.2"/>
    <row r="46" spans="1:9" s="8" customFormat="1" x14ac:dyDescent="0.2"/>
    <row r="47" spans="1:9" s="8" customFormat="1" x14ac:dyDescent="0.2"/>
    <row r="48" spans="1:9" s="8" customFormat="1" x14ac:dyDescent="0.2"/>
    <row r="49" s="8" customFormat="1" x14ac:dyDescent="0.2"/>
    <row r="50" s="8" customFormat="1" x14ac:dyDescent="0.2"/>
    <row r="51" s="8" customFormat="1" x14ac:dyDescent="0.2"/>
    <row r="52" s="8" customFormat="1" x14ac:dyDescent="0.2"/>
    <row r="53" s="8" customFormat="1" x14ac:dyDescent="0.2"/>
  </sheetData>
  <mergeCells count="17">
    <mergeCell ref="A33:I33"/>
    <mergeCell ref="B31:E31"/>
    <mergeCell ref="A34:I34"/>
    <mergeCell ref="A1:I1"/>
    <mergeCell ref="A2:I2"/>
    <mergeCell ref="B30:E30"/>
    <mergeCell ref="F13:G13"/>
    <mergeCell ref="A13:E13"/>
    <mergeCell ref="A25:B25"/>
    <mergeCell ref="C14:D14"/>
    <mergeCell ref="F14:G14"/>
    <mergeCell ref="B5:D5"/>
    <mergeCell ref="F5:I5"/>
    <mergeCell ref="B6:D6"/>
    <mergeCell ref="B7:D7"/>
    <mergeCell ref="B8:D8"/>
    <mergeCell ref="B9:D9"/>
  </mergeCells>
  <dataValidations disablePrompts="1" xWindow="829" yWindow="612" count="1">
    <dataValidation allowBlank="1" showInputMessage="1" showErrorMessage="1" prompt="Achievement in 2019 will be included in the report submitted in 2020." sqref="F16:G28" xr:uid="{00000000-0002-0000-0100-000000000000}"/>
  </dataValidations>
  <hyperlinks>
    <hyperlink ref="B9" r:id="rId1" xr:uid="{00000000-0004-0000-0100-000000000000}"/>
  </hyperlinks>
  <pageMargins left="0.7" right="0.7" top="0.75" bottom="0.75" header="0.3" footer="0.3"/>
  <pageSetup scale="93" fitToHeight="0" orientation="landscape" r:id="rId2"/>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2"/>
  <sheetViews>
    <sheetView workbookViewId="0">
      <selection activeCell="AY2" sqref="AY2"/>
    </sheetView>
  </sheetViews>
  <sheetFormatPr defaultColWidth="8.85546875" defaultRowHeight="15" x14ac:dyDescent="0.25"/>
  <cols>
    <col min="1" max="1" width="36.140625" bestFit="1" customWidth="1"/>
    <col min="3" max="3" width="10.42578125" customWidth="1"/>
    <col min="12" max="12" width="10.42578125" customWidth="1"/>
  </cols>
  <sheetData>
    <row r="1" spans="1:82" ht="162.75" x14ac:dyDescent="0.25">
      <c r="A1" s="39" t="s">
        <v>22</v>
      </c>
      <c r="B1" s="39" t="s">
        <v>33</v>
      </c>
      <c r="C1" s="39" t="s">
        <v>34</v>
      </c>
      <c r="D1" s="39" t="s">
        <v>35</v>
      </c>
      <c r="E1" s="39" t="s">
        <v>36</v>
      </c>
      <c r="F1" s="39" t="s">
        <v>37</v>
      </c>
      <c r="G1" s="39" t="s">
        <v>38</v>
      </c>
      <c r="H1" s="39" t="s">
        <v>39</v>
      </c>
      <c r="I1" s="39" t="s">
        <v>40</v>
      </c>
      <c r="J1" s="39" t="s">
        <v>41</v>
      </c>
      <c r="K1" s="39" t="s">
        <v>42</v>
      </c>
      <c r="L1" s="39" t="s">
        <v>43</v>
      </c>
      <c r="M1" s="39" t="s">
        <v>44</v>
      </c>
      <c r="N1" s="39" t="s">
        <v>45</v>
      </c>
      <c r="O1" s="39" t="s">
        <v>46</v>
      </c>
      <c r="P1" s="39" t="s">
        <v>47</v>
      </c>
      <c r="Q1" s="39" t="s">
        <v>48</v>
      </c>
      <c r="R1" s="39" t="s">
        <v>49</v>
      </c>
      <c r="S1" s="39" t="s">
        <v>50</v>
      </c>
      <c r="T1" s="39" t="s">
        <v>51</v>
      </c>
      <c r="U1" s="39" t="s">
        <v>52</v>
      </c>
      <c r="V1" s="39" t="s">
        <v>53</v>
      </c>
      <c r="W1" s="39" t="s">
        <v>54</v>
      </c>
      <c r="X1" s="39" t="s">
        <v>55</v>
      </c>
      <c r="Y1" s="39" t="s">
        <v>56</v>
      </c>
      <c r="Z1" s="39" t="s">
        <v>57</v>
      </c>
      <c r="AA1" s="39" t="s">
        <v>58</v>
      </c>
      <c r="AB1" s="39" t="s">
        <v>59</v>
      </c>
      <c r="AC1" s="39" t="s">
        <v>60</v>
      </c>
      <c r="AD1" s="39" t="s">
        <v>61</v>
      </c>
      <c r="AE1" s="39" t="s">
        <v>62</v>
      </c>
      <c r="AF1" s="39" t="s">
        <v>63</v>
      </c>
      <c r="AG1" s="39" t="s">
        <v>64</v>
      </c>
      <c r="AH1" s="39" t="s">
        <v>65</v>
      </c>
      <c r="AI1" s="39" t="s">
        <v>66</v>
      </c>
      <c r="AJ1" s="39" t="s">
        <v>67</v>
      </c>
      <c r="AK1" s="39" t="s">
        <v>68</v>
      </c>
      <c r="AL1" s="39" t="s">
        <v>69</v>
      </c>
      <c r="AM1" s="39" t="s">
        <v>70</v>
      </c>
      <c r="AN1" s="39" t="s">
        <v>71</v>
      </c>
      <c r="AO1" s="39" t="s">
        <v>72</v>
      </c>
      <c r="AP1" s="39" t="s">
        <v>73</v>
      </c>
      <c r="AQ1" s="39" t="s">
        <v>74</v>
      </c>
      <c r="AR1" s="39" t="s">
        <v>75</v>
      </c>
      <c r="AS1" s="39" t="s">
        <v>76</v>
      </c>
      <c r="AT1" s="39" t="s">
        <v>18</v>
      </c>
      <c r="AU1" s="39" t="s">
        <v>19</v>
      </c>
      <c r="AV1" s="39" t="s">
        <v>20</v>
      </c>
      <c r="AW1" s="39" t="s">
        <v>30</v>
      </c>
      <c r="AX1" s="39" t="s">
        <v>80</v>
      </c>
      <c r="AY1" s="39" t="s">
        <v>21</v>
      </c>
      <c r="AZ1" s="39" t="s">
        <v>31</v>
      </c>
      <c r="BA1" s="39" t="s">
        <v>81</v>
      </c>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row>
    <row r="2" spans="1:82" x14ac:dyDescent="0.25">
      <c r="A2" t="str">
        <f>CON_Utility_Name</f>
        <v>PacifiCorp</v>
      </c>
      <c r="B2">
        <f>+CON_2018_Agriculture_Expend</f>
        <v>258275.44632955809</v>
      </c>
      <c r="C2">
        <f>+CON_2018_Agriculture_MWH</f>
        <v>803.34199999999998</v>
      </c>
      <c r="D2">
        <f>+CON_2018_Commercial_Expend</f>
        <v>4190443.1580148195</v>
      </c>
      <c r="E2">
        <f>+CON_2018_Commercial_MWH</f>
        <v>21182.3207</v>
      </c>
      <c r="F2">
        <f>+CON_2018_Distribution_Expend</f>
        <v>0</v>
      </c>
      <c r="G2">
        <f>+CON_2018_Distribution_MWH</f>
        <v>0</v>
      </c>
      <c r="H2">
        <f>+CON_2018_Expenditures</f>
        <v>10840491.619999999</v>
      </c>
      <c r="I2">
        <f>+CON_2018_Industrial_Expend</f>
        <v>1327511.605655622</v>
      </c>
      <c r="J2">
        <f>+CON_2018_Industrial_MWH</f>
        <v>6864.6279999999997</v>
      </c>
      <c r="K2">
        <f>+CON_2018_MWH</f>
        <v>43868.460284449895</v>
      </c>
      <c r="L2">
        <f>+CON_2018_NEEA_Expend</f>
        <v>1002230.51</v>
      </c>
      <c r="M2">
        <f>+CON_2018_NEEA_MWH</f>
        <v>4479.4599244498868</v>
      </c>
      <c r="N2">
        <f>+CON_2018_OtherSector1_Expend</f>
        <v>0</v>
      </c>
      <c r="O2">
        <f>+CON_2018_OtherSector1_MWH</f>
        <v>0</v>
      </c>
      <c r="P2">
        <f>+CON_2018_OtherSector2_Expend</f>
        <v>0</v>
      </c>
      <c r="Q2">
        <f>+CON_2018_OtherSector2_MWH</f>
        <v>0</v>
      </c>
      <c r="R2">
        <f>+CON_2018_Production_Expend</f>
        <v>0</v>
      </c>
      <c r="S2">
        <f>+CON_2018_Production_MWH</f>
        <v>0</v>
      </c>
      <c r="T2">
        <f>+CON_2018_Program1_Expend</f>
        <v>783125.46000000008</v>
      </c>
      <c r="U2">
        <f>+CON_2018_Program2_Expend</f>
        <v>0</v>
      </c>
      <c r="V2">
        <f>+CON_2018_Residential_Expend</f>
        <v>3278905.439999999</v>
      </c>
      <c r="W2">
        <f>+CON_2018_Residential_MWH</f>
        <v>10538.709660000008</v>
      </c>
      <c r="X2">
        <f>+CON_2019_Agriculture_Expend</f>
        <v>197848.16406025217</v>
      </c>
      <c r="Y2">
        <f>+CON_2019_Agriculture_MWH</f>
        <v>495.61790000000002</v>
      </c>
      <c r="Z2">
        <f>+CON_2019_Commercial_Expend</f>
        <v>4049997.3184526875</v>
      </c>
      <c r="AA2">
        <f>+CON_2019_Commercial_MWH</f>
        <v>13667.857470000001</v>
      </c>
      <c r="AB2">
        <f>+CON_2019_Distribution_Expend</f>
        <v>0</v>
      </c>
      <c r="AC2">
        <f>+CON_2019_Distribution_MWH</f>
        <v>0</v>
      </c>
      <c r="AD2">
        <f>+CON_2019_Expenditures</f>
        <v>12034452.071772778</v>
      </c>
      <c r="AE2">
        <f>+CON_2019_Industrial_Expend</f>
        <v>1602222.4774870602</v>
      </c>
      <c r="AF2">
        <f>+CON_2019_Industrial_MWH</f>
        <v>4294.8010000000004</v>
      </c>
      <c r="AG2">
        <f>+CON_2019_MWH</f>
        <v>25472.629780000021</v>
      </c>
      <c r="AH2">
        <f>+CON_2019_NEEA_Expend</f>
        <v>792519.08</v>
      </c>
      <c r="AI2">
        <f>+CON_2019_NEEA_MWH</f>
        <v>4587</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701422.30999999994</v>
      </c>
      <c r="AQ2">
        <f>+CON_2019_Program2_Expend</f>
        <v>0</v>
      </c>
      <c r="AR2">
        <f>+CON_2019_Residential_Expend</f>
        <v>4690442.7217727797</v>
      </c>
      <c r="AS2">
        <f>+CON_2019_Residential_MWH</f>
        <v>2427.3534100000206</v>
      </c>
      <c r="AT2" t="str">
        <f>+CON_Contact_Name</f>
        <v>Cory Scott/Customer Solutions</v>
      </c>
      <c r="AU2" t="str">
        <f>+CON_Email</f>
        <v>Cory.Scott@pacificorp.com</v>
      </c>
      <c r="AV2" t="str">
        <f>+CON_Phone</f>
        <v>503-813-6011</v>
      </c>
      <c r="AW2">
        <f>CON_Potential_2018_2027</f>
        <v>509495</v>
      </c>
      <c r="AX2">
        <f>CON_Potential_2020_2029</f>
        <v>505954</v>
      </c>
      <c r="AY2">
        <f>+CON_Report_Date</f>
        <v>44735</v>
      </c>
      <c r="AZ2">
        <f>+CON_Target_2018_2019</f>
        <v>93189</v>
      </c>
      <c r="BA2">
        <f>CON_Target_2020_2021</f>
        <v>94210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B3659C8F05444D84E461F571F24215" ma:contentTypeVersion="56" ma:contentTypeDescription="" ma:contentTypeScope="" ma:versionID="abcd1816344d809c2159241b842021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2019-11-01T07:00:00+00:00</OpenedDate>
    <SignificantOrder xmlns="dc463f71-b30c-4ab2-9473-d307f9d35888">false</SignificantOrder>
    <Date1 xmlns="dc463f71-b30c-4ab2-9473-d307f9d35888">2022-06-23T07:00:00+00:00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2020-2021 Conservation</Nickname>
    <DocketNumber xmlns="dc463f71-b30c-4ab2-9473-d307f9d35888">190908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34ED001-5A19-44E4-95FC-068466D7523B}"/>
</file>

<file path=customXml/itemProps2.xml><?xml version="1.0" encoding="utf-8"?>
<ds:datastoreItem xmlns:ds="http://schemas.openxmlformats.org/officeDocument/2006/customXml" ds:itemID="{B5134EF7-F04D-4218-953F-7A835D8EE7C1}">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525DD8B7-8BE9-40B0-BEB6-8F0AA02969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54</vt:i4>
      </vt:variant>
    </vt:vector>
  </HeadingPairs>
  <TitlesOfParts>
    <vt:vector size="57"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CON_Potential_2020_2029</vt:lpstr>
      <vt:lpstr>CON_Report_Date</vt:lpstr>
      <vt:lpstr>CON_Target_2018_2019</vt:lpstr>
      <vt:lpstr>CON_Target_2020_2021</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Gutierrez, Santiago (PacifiCorp)</cp:lastModifiedBy>
  <cp:lastPrinted>2019-04-03T22:15:51Z</cp:lastPrinted>
  <dcterms:created xsi:type="dcterms:W3CDTF">2012-03-20T21:01:26Z</dcterms:created>
  <dcterms:modified xsi:type="dcterms:W3CDTF">2022-06-23T22:24:07Z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0x0101006E56B4D1795A2E4DB2F0B01679ED314A0091B3659C8F05444D84E461F571F24215</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