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5" yWindow="45" windowWidth="12120" windowHeight="9120" tabRatio="501" activeTab="0"/>
  </bookViews>
  <sheets>
    <sheet name="2009 Act vs 2011" sheetId="1" r:id="rId1"/>
  </sheets>
  <definedNames>
    <definedName name="_xlnm.Print_Area" localSheetId="0">'2009 Act vs 2011'!$A$1:$J$61</definedName>
    <definedName name="_xlnm.Print_Titles" localSheetId="0">'2009 Act vs 2011'!$1:$8</definedName>
  </definedNames>
  <calcPr fullCalcOnLoad="1" fullPrecision="0"/>
</workbook>
</file>

<file path=xl/sharedStrings.xml><?xml version="1.0" encoding="utf-8"?>
<sst xmlns="http://schemas.openxmlformats.org/spreadsheetml/2006/main" count="72" uniqueCount="52">
  <si>
    <t>($000s)</t>
  </si>
  <si>
    <t>Line</t>
  </si>
  <si>
    <t>No.</t>
  </si>
  <si>
    <t>Actual</t>
  </si>
  <si>
    <t>556 OTHER POWER SUPPLY EXPENSES</t>
  </si>
  <si>
    <t>NWPP</t>
  </si>
  <si>
    <t>Total Account 556</t>
  </si>
  <si>
    <t>560-71.4, 935.3-.4 TRANSMISSION O&amp;M EXPENSE</t>
  </si>
  <si>
    <t>566 TRANSMISSION EXP-OPRN-MISCELLANEOUS</t>
  </si>
  <si>
    <t>TOTAL EXPENSE</t>
  </si>
  <si>
    <t xml:space="preserve"> </t>
  </si>
  <si>
    <t>456 OTHER ELECTRIC REVENUE</t>
  </si>
  <si>
    <t>Borderline Wheeling</t>
  </si>
  <si>
    <t>Vaagen Wheeling</t>
  </si>
  <si>
    <t>Total Account 456</t>
  </si>
  <si>
    <t>TOTAL REVENUE</t>
  </si>
  <si>
    <t>TOTAL NET EXPENSE</t>
  </si>
  <si>
    <t>Spokane Waste to Energy Plant</t>
  </si>
  <si>
    <t>Avista Corporation</t>
  </si>
  <si>
    <t>OASIS nf &amp; stf  Whl (Other Whl)</t>
  </si>
  <si>
    <t>PP&amp;L - Dry Gulch</t>
  </si>
  <si>
    <t>PP&amp;L Series Cap -1978</t>
  </si>
  <si>
    <t>Adjusted</t>
  </si>
  <si>
    <t>Grand Coulee Project</t>
  </si>
  <si>
    <t>Elect Sched &amp; Acctg Srv (CASSO/OATI)</t>
  </si>
  <si>
    <t>561 TRANSMISSION EXP-LOAD DISPATCHING</t>
  </si>
  <si>
    <t>WECC -  Sys. Security Monitor</t>
  </si>
  <si>
    <t>WECC - Loop Flow</t>
  </si>
  <si>
    <t>WECC Admin &amp; Net Oper Comm Sys</t>
  </si>
  <si>
    <t>Colstrip O&amp;M - 500kV Line</t>
  </si>
  <si>
    <t>Pro Forma</t>
  </si>
  <si>
    <t>Period</t>
  </si>
  <si>
    <t>OASIS Expenses</t>
  </si>
  <si>
    <t>*</t>
  </si>
  <si>
    <t>Total Account 560-71.4, 935.3-.4</t>
  </si>
  <si>
    <t>Grid West (WA)</t>
  </si>
  <si>
    <t>ColumbiaGrid Planning</t>
  </si>
  <si>
    <t>ColumbiaGrid Development</t>
  </si>
  <si>
    <t>Pro Forma Transmission Revenue/Expenses</t>
  </si>
  <si>
    <t>Seattle/Tacoma Main Canal</t>
  </si>
  <si>
    <t>Seattle/ Tacoma Summer Falls</t>
  </si>
  <si>
    <t>ColumbiaGrid OASIS</t>
  </si>
  <si>
    <t>ColumbiaGrid DSRFA</t>
  </si>
  <si>
    <t>BPA Power Factor Penalty</t>
  </si>
  <si>
    <t>NERC CIP</t>
  </si>
  <si>
    <t>Grant County PUD</t>
  </si>
  <si>
    <t>FERC Settlement</t>
  </si>
  <si>
    <t>NaturEner Pwr Watch</t>
  </si>
  <si>
    <t>Contracts ended in either 2009 or 2010.</t>
  </si>
  <si>
    <t>**</t>
  </si>
  <si>
    <t>One time events.</t>
  </si>
  <si>
    <t xml:space="preserve"> Energy Delivery - 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</si>
</sst>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\ ;\(#,##0\)"/>
    <numFmt numFmtId="165" formatCode="#,##0\ ;\(#,##0\)"/>
    <numFmt numFmtId="166" formatCode="#,##0\ ;\(#,##0\)\ ;"/>
    <numFmt numFmtId="167" formatCode="m/dd/yy"/>
    <numFmt numFmtId="168" formatCode="0.0000"/>
    <numFmt numFmtId="169" formatCode="0.0"/>
    <numFmt numFmtId="170" formatCode="#,##0.0"/>
    <numFmt numFmtId="171" formatCode="#,##0.000"/>
    <numFmt numFmtId="172" formatCode="#,##0.0000"/>
    <numFmt numFmtId="173" formatCode="#,##0.00000"/>
    <numFmt numFmtId="174" formatCode="#,##0.000000"/>
    <numFmt numFmtId="175" formatCode="&quot;$&quot;#,##0"/>
  </numFmts>
  <fonts count="41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9"/>
      <name val="Geneva"/>
      <family val="0"/>
    </font>
    <font>
      <u val="single"/>
      <sz val="10"/>
      <name val="Geneva"/>
      <family val="0"/>
    </font>
    <font>
      <u val="single"/>
      <sz val="9"/>
      <name val="Genev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1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14" fontId="0" fillId="0" borderId="0" xfId="0" applyNumberFormat="1" applyAlignment="1">
      <alignment horizontal="left"/>
    </xf>
    <xf numFmtId="0" fontId="1" fillId="0" borderId="0" xfId="0" applyFont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3" fontId="0" fillId="0" borderId="11" xfId="0" applyNumberFormat="1" applyBorder="1" applyAlignment="1">
      <alignment/>
    </xf>
    <xf numFmtId="0" fontId="6" fillId="0" borderId="0" xfId="0" applyFont="1" applyAlignment="1">
      <alignment horizontal="left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left"/>
    </xf>
    <xf numFmtId="2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Continuous"/>
    </xf>
    <xf numFmtId="14" fontId="0" fillId="0" borderId="0" xfId="0" applyNumberFormat="1" applyAlignment="1">
      <alignment horizontal="centerContinuous"/>
    </xf>
    <xf numFmtId="0" fontId="0" fillId="0" borderId="0" xfId="0" applyAlignment="1">
      <alignment horizontal="centerContinuous"/>
    </xf>
    <xf numFmtId="3" fontId="0" fillId="0" borderId="10" xfId="0" applyNumberFormat="1" applyBorder="1" applyAlignment="1">
      <alignment/>
    </xf>
  </cellXfs>
  <cellStyles count="4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urrency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Linked Cell" xfId="51"/>
    <cellStyle name="Neutral" xfId="52"/>
    <cellStyle name="Note" xfId="53"/>
    <cellStyle name="Output" xfId="54"/>
    <cellStyle name="Percent" xfId="55"/>
    <cellStyle name="Title" xfId="56"/>
    <cellStyle name="Total" xfId="57"/>
    <cellStyle name="Warning Text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8"/>
  <sheetViews>
    <sheetView tabSelected="1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8" sqref="A8"/>
      <selection pane="bottomRight" activeCell="E5" sqref="E5"/>
    </sheetView>
  </sheetViews>
  <sheetFormatPr defaultColWidth="11.375" defaultRowHeight="12.75"/>
  <cols>
    <col min="1" max="1" width="4.375" style="17" customWidth="1"/>
    <col min="2" max="2" width="3.125" style="17" customWidth="1"/>
    <col min="3" max="3" width="23.75390625" style="0" customWidth="1"/>
    <col min="4" max="4" width="11.00390625" style="0" customWidth="1"/>
    <col min="5" max="5" width="9.00390625" style="0" customWidth="1"/>
    <col min="6" max="6" width="8.75390625" style="0" customWidth="1"/>
    <col min="7" max="7" width="3.75390625" style="0" customWidth="1"/>
    <col min="8" max="8" width="8.25390625" style="19" customWidth="1"/>
    <col min="9" max="9" width="3.75390625" style="0" customWidth="1"/>
    <col min="10" max="10" width="12.75390625" style="0" customWidth="1"/>
  </cols>
  <sheetData>
    <row r="1" spans="1:10" ht="12.75">
      <c r="A1" s="21" t="s">
        <v>18</v>
      </c>
      <c r="B1" s="22"/>
      <c r="C1" s="22"/>
      <c r="D1" s="23"/>
      <c r="E1" s="23"/>
      <c r="F1" s="23"/>
      <c r="G1" s="23"/>
      <c r="H1" s="23"/>
      <c r="I1" s="23"/>
      <c r="J1" s="23"/>
    </row>
    <row r="2" spans="1:10" ht="12.75">
      <c r="A2" s="21" t="s">
        <v>51</v>
      </c>
      <c r="B2" s="22"/>
      <c r="C2" s="22"/>
      <c r="D2" s="23"/>
      <c r="E2" s="23"/>
      <c r="F2" s="23"/>
      <c r="G2" s="23"/>
      <c r="H2" s="23"/>
      <c r="I2" s="23"/>
      <c r="J2" s="23"/>
    </row>
    <row r="3" spans="1:10" ht="12.75">
      <c r="A3" s="21" t="s">
        <v>38</v>
      </c>
      <c r="B3" s="22"/>
      <c r="C3" s="22"/>
      <c r="D3" s="23"/>
      <c r="E3" s="23"/>
      <c r="F3" s="23"/>
      <c r="G3" s="23"/>
      <c r="H3" s="23"/>
      <c r="I3" s="23"/>
      <c r="J3" s="23"/>
    </row>
    <row r="4" spans="1:10" ht="12" customHeight="1">
      <c r="A4" s="21" t="s">
        <v>0</v>
      </c>
      <c r="B4" s="22"/>
      <c r="C4" s="22"/>
      <c r="D4" s="23"/>
      <c r="E4" s="23"/>
      <c r="F4" s="23"/>
      <c r="G4" s="23"/>
      <c r="H4" s="23"/>
      <c r="I4" s="23"/>
      <c r="J4" s="23"/>
    </row>
    <row r="5" spans="1:8" ht="12" customHeight="1">
      <c r="A5" s="3"/>
      <c r="B5" s="3"/>
      <c r="C5" s="1"/>
      <c r="E5" s="2"/>
      <c r="H5" s="4"/>
    </row>
    <row r="6" spans="1:10" ht="12.75">
      <c r="A6" s="4"/>
      <c r="B6" s="4"/>
      <c r="F6" s="5" t="s">
        <v>10</v>
      </c>
      <c r="H6" s="5"/>
      <c r="J6" s="5">
        <v>2011</v>
      </c>
    </row>
    <row r="7" spans="1:10" ht="12.75">
      <c r="A7" s="4" t="s">
        <v>1</v>
      </c>
      <c r="B7" s="4"/>
      <c r="F7" s="5">
        <v>2009</v>
      </c>
      <c r="H7" s="6"/>
      <c r="J7" s="5" t="s">
        <v>30</v>
      </c>
    </row>
    <row r="8" spans="1:10" ht="12.75">
      <c r="A8" s="7" t="s">
        <v>2</v>
      </c>
      <c r="B8" s="9"/>
      <c r="F8" s="8" t="s">
        <v>3</v>
      </c>
      <c r="H8" s="8" t="s">
        <v>22</v>
      </c>
      <c r="J8" s="8" t="s">
        <v>31</v>
      </c>
    </row>
    <row r="9" spans="1:10" ht="12.75">
      <c r="A9" s="9"/>
      <c r="B9" s="9"/>
      <c r="F9" s="5"/>
      <c r="H9" s="11"/>
      <c r="J9" s="5"/>
    </row>
    <row r="10" spans="1:10" ht="12.75">
      <c r="A10" s="4"/>
      <c r="B10" s="4"/>
      <c r="C10" s="10" t="s">
        <v>4</v>
      </c>
      <c r="F10" s="11"/>
      <c r="H10" s="11"/>
      <c r="J10" s="12"/>
    </row>
    <row r="11" spans="1:10" ht="12.75">
      <c r="A11" s="4">
        <v>1</v>
      </c>
      <c r="B11" s="4"/>
      <c r="C11" t="s">
        <v>5</v>
      </c>
      <c r="F11" s="11">
        <f>35832.78/1000</f>
        <v>36</v>
      </c>
      <c r="H11" s="11">
        <f>4052/1000</f>
        <v>4</v>
      </c>
      <c r="J11" s="11">
        <f>F11+H11</f>
        <v>40</v>
      </c>
    </row>
    <row r="12" spans="1:10" ht="12.75">
      <c r="A12" s="4"/>
      <c r="B12" s="4"/>
      <c r="F12" s="11"/>
      <c r="H12" s="11"/>
      <c r="J12" s="11"/>
    </row>
    <row r="13" spans="1:10" ht="12.75" customHeight="1">
      <c r="A13"/>
      <c r="B13"/>
      <c r="C13" s="14" t="s">
        <v>7</v>
      </c>
      <c r="F13" s="11"/>
      <c r="H13" s="11"/>
      <c r="J13" s="11"/>
    </row>
    <row r="14" spans="1:10" ht="12.75" customHeight="1">
      <c r="A14" s="4">
        <f>A11+1</f>
        <v>2</v>
      </c>
      <c r="B14" s="4"/>
      <c r="C14" t="s">
        <v>29</v>
      </c>
      <c r="F14" s="11">
        <f>490896.82/1000</f>
        <v>491</v>
      </c>
      <c r="H14" s="11">
        <f>94103/1000</f>
        <v>94</v>
      </c>
      <c r="J14" s="11">
        <f aca="true" t="shared" si="0" ref="J14:J19">F14+H14</f>
        <v>585</v>
      </c>
    </row>
    <row r="15" spans="1:10" ht="12.75" customHeight="1">
      <c r="A15" s="4">
        <f aca="true" t="shared" si="1" ref="A15:A20">A14+1</f>
        <v>3</v>
      </c>
      <c r="B15" s="4"/>
      <c r="C15" t="s">
        <v>37</v>
      </c>
      <c r="F15" s="11">
        <f>202182.92/1000</f>
        <v>202</v>
      </c>
      <c r="G15" t="s">
        <v>10</v>
      </c>
      <c r="H15" s="11">
        <f>-22183/1000</f>
        <v>-22</v>
      </c>
      <c r="J15" s="11">
        <f t="shared" si="0"/>
        <v>180</v>
      </c>
    </row>
    <row r="16" spans="1:10" ht="12.75" customHeight="1">
      <c r="A16" s="4">
        <f t="shared" si="1"/>
        <v>4</v>
      </c>
      <c r="B16" s="4"/>
      <c r="C16" t="s">
        <v>36</v>
      </c>
      <c r="F16" s="11">
        <f>141810.13/1000</f>
        <v>142</v>
      </c>
      <c r="H16" s="11">
        <f>78190/1000</f>
        <v>78</v>
      </c>
      <c r="J16" s="11">
        <f t="shared" si="0"/>
        <v>220</v>
      </c>
    </row>
    <row r="17" spans="1:10" ht="12.75" customHeight="1">
      <c r="A17" s="4">
        <f t="shared" si="1"/>
        <v>5</v>
      </c>
      <c r="B17" s="4"/>
      <c r="C17" t="s">
        <v>41</v>
      </c>
      <c r="F17" s="11">
        <f>34785.54/1000</f>
        <v>35</v>
      </c>
      <c r="H17" s="11">
        <f>51214/1000</f>
        <v>51</v>
      </c>
      <c r="J17" s="11">
        <f t="shared" si="0"/>
        <v>86</v>
      </c>
    </row>
    <row r="18" spans="1:10" ht="12.75" customHeight="1">
      <c r="A18" s="4">
        <f t="shared" si="1"/>
        <v>6</v>
      </c>
      <c r="B18" s="4"/>
      <c r="C18" t="s">
        <v>42</v>
      </c>
      <c r="F18" s="11">
        <f>1898.91/1000</f>
        <v>2</v>
      </c>
      <c r="H18" s="11">
        <f>-1898.91/1000</f>
        <v>-2</v>
      </c>
      <c r="J18" s="11">
        <f t="shared" si="0"/>
        <v>0</v>
      </c>
    </row>
    <row r="19" spans="1:10" ht="12.75" customHeight="1">
      <c r="A19" s="4">
        <f t="shared" si="1"/>
        <v>7</v>
      </c>
      <c r="B19" s="4"/>
      <c r="C19" t="s">
        <v>35</v>
      </c>
      <c r="F19" s="24">
        <f>158213.28/1000</f>
        <v>158</v>
      </c>
      <c r="H19" s="24">
        <f>-79106/1000</f>
        <v>-79</v>
      </c>
      <c r="J19" s="24">
        <f t="shared" si="0"/>
        <v>79</v>
      </c>
    </row>
    <row r="20" spans="1:10" ht="12.75" customHeight="1">
      <c r="A20" s="4">
        <f t="shared" si="1"/>
        <v>8</v>
      </c>
      <c r="B20" s="4"/>
      <c r="C20" t="s">
        <v>34</v>
      </c>
      <c r="F20" s="11">
        <f>SUM(F14:F19)</f>
        <v>1030</v>
      </c>
      <c r="H20" s="11">
        <f>SUM(H14:H19)</f>
        <v>120</v>
      </c>
      <c r="J20" s="11">
        <f>SUM(J14:J19)</f>
        <v>1150</v>
      </c>
    </row>
    <row r="21" spans="1:10" ht="12.75" customHeight="1">
      <c r="A21" s="4"/>
      <c r="B21" s="4"/>
      <c r="F21" s="11"/>
      <c r="H21" s="11"/>
      <c r="J21" s="11"/>
    </row>
    <row r="22" spans="1:10" ht="12.75" customHeight="1">
      <c r="A22"/>
      <c r="B22"/>
      <c r="C22" s="14" t="s">
        <v>25</v>
      </c>
      <c r="F22" s="11"/>
      <c r="H22" s="11"/>
      <c r="J22" s="11"/>
    </row>
    <row r="23" spans="1:10" ht="12.75" customHeight="1">
      <c r="A23" s="4">
        <f>A20+1</f>
        <v>9</v>
      </c>
      <c r="B23" s="4"/>
      <c r="C23" t="s">
        <v>24</v>
      </c>
      <c r="F23" s="11">
        <f>(9000+163295.2)/1000</f>
        <v>172</v>
      </c>
      <c r="H23" s="11">
        <f>-12255/1000</f>
        <v>-12</v>
      </c>
      <c r="J23" s="11">
        <f>F23+H23</f>
        <v>160</v>
      </c>
    </row>
    <row r="24" spans="1:10" ht="12.75" customHeight="1">
      <c r="A24" s="4"/>
      <c r="B24" s="4"/>
      <c r="F24" s="11"/>
      <c r="H24" s="11"/>
      <c r="J24" s="11"/>
    </row>
    <row r="25" spans="1:10" ht="12.75" customHeight="1">
      <c r="A25"/>
      <c r="B25"/>
      <c r="C25" s="14" t="s">
        <v>8</v>
      </c>
      <c r="F25" s="11"/>
      <c r="H25" s="11"/>
      <c r="J25" s="11"/>
    </row>
    <row r="26" spans="1:10" ht="12.75" customHeight="1">
      <c r="A26" s="4">
        <f>A23+1</f>
        <v>10</v>
      </c>
      <c r="B26" s="4" t="s">
        <v>10</v>
      </c>
      <c r="C26" t="s">
        <v>44</v>
      </c>
      <c r="F26" s="11">
        <f>25235/1000</f>
        <v>25</v>
      </c>
      <c r="G26" s="4" t="s">
        <v>10</v>
      </c>
      <c r="H26" s="11">
        <f>1/1000</f>
        <v>0</v>
      </c>
      <c r="J26" s="11">
        <f aca="true" t="shared" si="2" ref="J26:J31">F26+H26</f>
        <v>25</v>
      </c>
    </row>
    <row r="27" spans="1:10" ht="12.75" customHeight="1">
      <c r="A27" s="4">
        <f aca="true" t="shared" si="3" ref="A27:A32">A26+1</f>
        <v>11</v>
      </c>
      <c r="B27" s="4"/>
      <c r="C27" t="s">
        <v>32</v>
      </c>
      <c r="F27" s="11">
        <f>3684.28/1000</f>
        <v>4</v>
      </c>
      <c r="H27" s="11">
        <f>5422/1000</f>
        <v>5</v>
      </c>
      <c r="J27" s="11">
        <f t="shared" si="2"/>
        <v>9</v>
      </c>
    </row>
    <row r="28" spans="1:10" ht="12.75" customHeight="1">
      <c r="A28" s="4">
        <f t="shared" si="3"/>
        <v>12</v>
      </c>
      <c r="B28" s="4"/>
      <c r="C28" t="s">
        <v>43</v>
      </c>
      <c r="F28" s="11">
        <f>123689/1000</f>
        <v>124</v>
      </c>
      <c r="H28" s="11">
        <f>21789/1000</f>
        <v>22</v>
      </c>
      <c r="J28" s="11">
        <f t="shared" si="2"/>
        <v>146</v>
      </c>
    </row>
    <row r="29" spans="1:10" ht="12.75" customHeight="1">
      <c r="A29" s="4">
        <f t="shared" si="3"/>
        <v>13</v>
      </c>
      <c r="B29" s="4"/>
      <c r="C29" t="s">
        <v>26</v>
      </c>
      <c r="F29" s="11">
        <f>158874.45/1000</f>
        <v>159</v>
      </c>
      <c r="H29" s="11">
        <f>8587/1000</f>
        <v>9</v>
      </c>
      <c r="J29" s="11">
        <f t="shared" si="2"/>
        <v>168</v>
      </c>
    </row>
    <row r="30" spans="1:10" ht="12.75">
      <c r="A30" s="4">
        <f t="shared" si="3"/>
        <v>14</v>
      </c>
      <c r="B30" s="4"/>
      <c r="C30" t="s">
        <v>28</v>
      </c>
      <c r="F30" s="11">
        <f>329408.72/1000</f>
        <v>329</v>
      </c>
      <c r="H30" s="11">
        <f>40570/1000</f>
        <v>41</v>
      </c>
      <c r="J30" s="11">
        <f t="shared" si="2"/>
        <v>370</v>
      </c>
    </row>
    <row r="31" spans="1:10" ht="12.75">
      <c r="A31" s="4">
        <f t="shared" si="3"/>
        <v>15</v>
      </c>
      <c r="B31" s="4"/>
      <c r="C31" t="s">
        <v>27</v>
      </c>
      <c r="F31" s="24">
        <f>40250/1000</f>
        <v>40</v>
      </c>
      <c r="H31" s="24">
        <f>-6486/1000</f>
        <v>-6</v>
      </c>
      <c r="J31" s="11">
        <f t="shared" si="2"/>
        <v>34</v>
      </c>
    </row>
    <row r="32" spans="1:10" ht="12.75">
      <c r="A32" s="4">
        <f t="shared" si="3"/>
        <v>16</v>
      </c>
      <c r="B32" s="4"/>
      <c r="C32" t="s">
        <v>6</v>
      </c>
      <c r="F32" s="13">
        <f>SUM(F26:F31)</f>
        <v>681</v>
      </c>
      <c r="H32" s="13">
        <f>SUM(H26:H31)</f>
        <v>71</v>
      </c>
      <c r="J32" s="13">
        <f>SUM(J26:J31)</f>
        <v>752</v>
      </c>
    </row>
    <row r="33" spans="1:10" ht="12.75">
      <c r="A33" s="4"/>
      <c r="B33" s="4"/>
      <c r="F33" s="11"/>
      <c r="H33" s="11"/>
      <c r="J33" s="11"/>
    </row>
    <row r="34" spans="1:10" ht="12" customHeight="1">
      <c r="A34" s="4"/>
      <c r="B34" s="4"/>
      <c r="F34" s="11"/>
      <c r="H34" s="11"/>
      <c r="J34" s="11"/>
    </row>
    <row r="35" spans="1:10" ht="12" customHeight="1">
      <c r="A35" s="4">
        <f>A32+1</f>
        <v>17</v>
      </c>
      <c r="B35" s="4"/>
      <c r="C35" s="15" t="s">
        <v>9</v>
      </c>
      <c r="F35" s="13">
        <f>SUM(F32,F23,F20,F11)</f>
        <v>1919</v>
      </c>
      <c r="H35" s="13">
        <f>SUM(H32,H23,H20,H11)</f>
        <v>183</v>
      </c>
      <c r="J35" s="13">
        <f>SUM(J32,J23,J20,J11)</f>
        <v>2102</v>
      </c>
    </row>
    <row r="36" spans="1:10" ht="12" customHeight="1">
      <c r="A36" s="4"/>
      <c r="B36" s="4"/>
      <c r="C36" s="15"/>
      <c r="F36" s="11"/>
      <c r="H36" s="11"/>
      <c r="J36" s="11"/>
    </row>
    <row r="37" spans="1:10" ht="12.75">
      <c r="A37" s="4"/>
      <c r="B37" s="4"/>
      <c r="F37" s="11"/>
      <c r="H37" s="11"/>
      <c r="J37" s="12"/>
    </row>
    <row r="38" spans="1:10" ht="12.75">
      <c r="A38" s="4"/>
      <c r="B38" s="4"/>
      <c r="C38" s="16" t="s">
        <v>11</v>
      </c>
      <c r="F38" s="11"/>
      <c r="H38" s="11"/>
      <c r="J38" s="12"/>
    </row>
    <row r="39" spans="1:10" ht="12.75">
      <c r="A39" s="4">
        <f>A35+1</f>
        <v>18</v>
      </c>
      <c r="B39" s="4" t="s">
        <v>10</v>
      </c>
      <c r="C39" t="s">
        <v>12</v>
      </c>
      <c r="F39" s="11">
        <f>(5427829.04+124224.32)/1000</f>
        <v>5552</v>
      </c>
      <c r="H39" s="11">
        <f>(2276805+8995)/1000</f>
        <v>2286</v>
      </c>
      <c r="J39" s="11">
        <f aca="true" t="shared" si="4" ref="J39:J50">F39+H39</f>
        <v>7838</v>
      </c>
    </row>
    <row r="40" spans="1:10" ht="12.75">
      <c r="A40" s="4">
        <f>A39+1</f>
        <v>19</v>
      </c>
      <c r="B40" s="4" t="s">
        <v>10</v>
      </c>
      <c r="C40" t="s">
        <v>39</v>
      </c>
      <c r="F40" s="11">
        <f>192832.16/1000</f>
        <v>193</v>
      </c>
      <c r="H40" s="11">
        <f>82816/1000</f>
        <v>83</v>
      </c>
      <c r="J40" s="11">
        <f t="shared" si="4"/>
        <v>276</v>
      </c>
    </row>
    <row r="41" spans="1:10" ht="12.75">
      <c r="A41" s="4">
        <f>A40+1</f>
        <v>20</v>
      </c>
      <c r="B41" s="4" t="s">
        <v>10</v>
      </c>
      <c r="C41" t="s">
        <v>40</v>
      </c>
      <c r="F41" s="11">
        <f>74222/1000</f>
        <v>74</v>
      </c>
      <c r="H41" s="11">
        <f aca="true" t="shared" si="5" ref="H41:H47">1/1000</f>
        <v>0</v>
      </c>
      <c r="J41" s="11">
        <f t="shared" si="4"/>
        <v>74</v>
      </c>
    </row>
    <row r="42" spans="1:10" ht="12.75">
      <c r="A42" s="4">
        <f>A41+1</f>
        <v>21</v>
      </c>
      <c r="B42" s="4" t="s">
        <v>10</v>
      </c>
      <c r="C42" t="s">
        <v>19</v>
      </c>
      <c r="F42" s="11">
        <f>2962339.56/1000</f>
        <v>2962</v>
      </c>
      <c r="H42" s="11">
        <f>779124/1000</f>
        <v>779</v>
      </c>
      <c r="J42" s="11">
        <f t="shared" si="4"/>
        <v>3741</v>
      </c>
    </row>
    <row r="43" spans="1:10" ht="12.75">
      <c r="A43" s="4">
        <f aca="true" t="shared" si="6" ref="A43:A51">A42+1</f>
        <v>22</v>
      </c>
      <c r="B43" s="4" t="s">
        <v>10</v>
      </c>
      <c r="C43" t="s">
        <v>20</v>
      </c>
      <c r="F43" s="11">
        <f>206460/1000</f>
        <v>206</v>
      </c>
      <c r="H43" s="11">
        <f>43160/1000</f>
        <v>43</v>
      </c>
      <c r="J43" s="11">
        <f t="shared" si="4"/>
        <v>249</v>
      </c>
    </row>
    <row r="44" spans="1:10" ht="12.75">
      <c r="A44" s="4">
        <f t="shared" si="6"/>
        <v>23</v>
      </c>
      <c r="B44" s="4"/>
      <c r="C44" t="s">
        <v>17</v>
      </c>
      <c r="F44" s="11">
        <f>159594/1000</f>
        <v>160</v>
      </c>
      <c r="H44" s="11">
        <f t="shared" si="5"/>
        <v>0</v>
      </c>
      <c r="J44" s="11">
        <f t="shared" si="4"/>
        <v>160</v>
      </c>
    </row>
    <row r="45" spans="1:10" ht="12.75">
      <c r="A45" s="4">
        <f t="shared" si="6"/>
        <v>24</v>
      </c>
      <c r="B45" s="4" t="s">
        <v>33</v>
      </c>
      <c r="C45" t="s">
        <v>13</v>
      </c>
      <c r="F45" s="11">
        <f>97230.37/1000</f>
        <v>97</v>
      </c>
      <c r="H45" s="11">
        <f>-97230.37/1000</f>
        <v>-97</v>
      </c>
      <c r="J45" s="11">
        <f t="shared" si="4"/>
        <v>0</v>
      </c>
    </row>
    <row r="46" spans="1:10" ht="12.75">
      <c r="A46" s="4">
        <f t="shared" si="6"/>
        <v>25</v>
      </c>
      <c r="B46" s="4" t="s">
        <v>33</v>
      </c>
      <c r="C46" t="s">
        <v>45</v>
      </c>
      <c r="F46" s="11">
        <f>55966.68/1000</f>
        <v>56</v>
      </c>
      <c r="G46" s="12"/>
      <c r="H46" s="11">
        <f>-55967/1000</f>
        <v>-56</v>
      </c>
      <c r="J46" s="11">
        <f t="shared" si="4"/>
        <v>0</v>
      </c>
    </row>
    <row r="47" spans="1:10" ht="12.75">
      <c r="A47" s="4">
        <f t="shared" si="6"/>
        <v>26</v>
      </c>
      <c r="B47" s="4"/>
      <c r="C47" t="s">
        <v>23</v>
      </c>
      <c r="F47" s="11">
        <f>8080.92/1000</f>
        <v>8</v>
      </c>
      <c r="H47" s="11">
        <f t="shared" si="5"/>
        <v>0</v>
      </c>
      <c r="J47" s="11">
        <f>F47+H47</f>
        <v>8</v>
      </c>
    </row>
    <row r="48" spans="1:10" ht="12.75">
      <c r="A48" s="4">
        <f t="shared" si="6"/>
        <v>27</v>
      </c>
      <c r="B48" s="4" t="s">
        <v>33</v>
      </c>
      <c r="C48" t="s">
        <v>21</v>
      </c>
      <c r="F48" s="11">
        <f>4686/1000</f>
        <v>5</v>
      </c>
      <c r="H48" s="11">
        <f>-4686/1000</f>
        <v>-5</v>
      </c>
      <c r="J48" s="11">
        <f>F48+H48</f>
        <v>0</v>
      </c>
    </row>
    <row r="49" spans="1:10" ht="12.75">
      <c r="A49" s="4">
        <f t="shared" si="6"/>
        <v>28</v>
      </c>
      <c r="B49" s="4" t="s">
        <v>49</v>
      </c>
      <c r="C49" t="s">
        <v>47</v>
      </c>
      <c r="F49" s="11">
        <f>10000/1000</f>
        <v>10</v>
      </c>
      <c r="H49" s="11">
        <f>-10000/1000</f>
        <v>-10</v>
      </c>
      <c r="J49" s="11">
        <f>F49+H49</f>
        <v>0</v>
      </c>
    </row>
    <row r="50" spans="1:10" ht="12.75">
      <c r="A50" s="4">
        <f t="shared" si="6"/>
        <v>29</v>
      </c>
      <c r="B50" s="4" t="s">
        <v>49</v>
      </c>
      <c r="C50" t="s">
        <v>46</v>
      </c>
      <c r="F50" s="11">
        <f>115417.07/1000</f>
        <v>115</v>
      </c>
      <c r="H50" s="11">
        <f>-115417.07/1000</f>
        <v>-115</v>
      </c>
      <c r="J50" s="11">
        <f t="shared" si="4"/>
        <v>0</v>
      </c>
    </row>
    <row r="51" spans="1:10" ht="12.75">
      <c r="A51" s="4">
        <f t="shared" si="6"/>
        <v>30</v>
      </c>
      <c r="B51" s="4"/>
      <c r="C51" t="s">
        <v>14</v>
      </c>
      <c r="F51" s="13">
        <f>SUM(F39:F50)</f>
        <v>9438</v>
      </c>
      <c r="H51" s="13">
        <f>SUM(H39:H50)</f>
        <v>2908</v>
      </c>
      <c r="J51" s="13">
        <f>SUM(J39:J50)</f>
        <v>12346</v>
      </c>
    </row>
    <row r="52" spans="1:10" ht="12.75">
      <c r="A52" s="4"/>
      <c r="B52" s="4"/>
      <c r="C52" t="s">
        <v>10</v>
      </c>
      <c r="F52" s="11"/>
      <c r="H52" s="11"/>
      <c r="J52" s="11"/>
    </row>
    <row r="53" spans="1:10" ht="12.75">
      <c r="A53" s="4"/>
      <c r="B53" s="4"/>
      <c r="F53" s="11"/>
      <c r="H53" s="11"/>
      <c r="J53" s="11"/>
    </row>
    <row r="54" spans="1:10" ht="12.75">
      <c r="A54" s="4">
        <f>A51+1</f>
        <v>31</v>
      </c>
      <c r="B54" s="4"/>
      <c r="C54" s="15" t="s">
        <v>15</v>
      </c>
      <c r="F54" s="13">
        <f>SUM(F51)</f>
        <v>9438</v>
      </c>
      <c r="H54" s="13">
        <f>H51</f>
        <v>2908</v>
      </c>
      <c r="J54" s="13">
        <f>SUM(J51)</f>
        <v>12346</v>
      </c>
    </row>
    <row r="55" spans="1:10" ht="12.75">
      <c r="A55" s="4"/>
      <c r="B55" s="4"/>
      <c r="C55" s="15"/>
      <c r="F55" s="11"/>
      <c r="H55" s="11"/>
      <c r="J55" s="11"/>
    </row>
    <row r="56" spans="1:10" ht="12.75">
      <c r="A56" s="4"/>
      <c r="B56" s="4"/>
      <c r="F56" s="11"/>
      <c r="H56" s="11"/>
      <c r="J56" s="11"/>
    </row>
    <row r="57" spans="1:10" ht="12.75">
      <c r="A57" s="4">
        <f>A54+1</f>
        <v>32</v>
      </c>
      <c r="B57" s="4"/>
      <c r="C57" s="15" t="s">
        <v>16</v>
      </c>
      <c r="F57" s="13">
        <f>F35-F54</f>
        <v>-7519</v>
      </c>
      <c r="H57" s="13">
        <f>H35-H54</f>
        <v>-2725</v>
      </c>
      <c r="J57" s="13">
        <f>J35-J54</f>
        <v>-10244</v>
      </c>
    </row>
    <row r="58" spans="1:8" ht="12.75">
      <c r="A58" s="4"/>
      <c r="B58" s="4"/>
      <c r="C58" s="15"/>
      <c r="F58" s="11"/>
      <c r="H58" s="11"/>
    </row>
    <row r="59" spans="1:8" ht="12.75">
      <c r="A59" s="4"/>
      <c r="B59" s="4"/>
      <c r="C59" s="15"/>
      <c r="F59" s="11"/>
      <c r="H59" s="11"/>
    </row>
    <row r="60" spans="1:8" ht="12.75">
      <c r="A60" s="4"/>
      <c r="B60" s="4" t="s">
        <v>33</v>
      </c>
      <c r="C60" t="s">
        <v>48</v>
      </c>
      <c r="F60" s="11"/>
      <c r="H60" s="11"/>
    </row>
    <row r="61" spans="1:8" ht="12.75">
      <c r="A61" s="4"/>
      <c r="B61" s="4" t="s">
        <v>49</v>
      </c>
      <c r="C61" t="s">
        <v>50</v>
      </c>
      <c r="F61" s="11"/>
      <c r="H61" s="11"/>
    </row>
    <row r="62" spans="1:8" ht="12.75" customHeight="1">
      <c r="A62" s="4"/>
      <c r="B62" s="4" t="s">
        <v>10</v>
      </c>
      <c r="C62" s="20" t="s">
        <v>10</v>
      </c>
      <c r="F62" s="11"/>
      <c r="G62" s="12"/>
      <c r="H62" s="11"/>
    </row>
    <row r="63" spans="1:8" ht="12.75">
      <c r="A63" s="4" t="s">
        <v>10</v>
      </c>
      <c r="H63"/>
    </row>
    <row r="64" spans="1:8" ht="12.75">
      <c r="A64" s="4"/>
      <c r="H64"/>
    </row>
    <row r="65" spans="1:8" ht="12.75">
      <c r="A65" s="4"/>
      <c r="D65" s="18" t="s">
        <v>10</v>
      </c>
      <c r="E65" s="18"/>
      <c r="H65"/>
    </row>
    <row r="66" spans="1:8" ht="12.75">
      <c r="A66" s="4"/>
      <c r="D66" t="s">
        <v>10</v>
      </c>
      <c r="H66"/>
    </row>
    <row r="67" spans="1:8" ht="12.75">
      <c r="A67" s="4"/>
      <c r="D67" t="s">
        <v>10</v>
      </c>
      <c r="H67"/>
    </row>
    <row r="68" spans="1:8" ht="12.75">
      <c r="A68" s="4"/>
      <c r="H68"/>
    </row>
  </sheetData>
  <sheetProtection/>
  <printOptions/>
  <pageMargins left="1" right="0" top="0.5" bottom="0" header="0.5" footer="0.25"/>
  <pageSetup horizontalDpi="1200" verticalDpi="1200" orientation="portrait" scale="85" r:id="rId1"/>
  <headerFooter alignWithMargins="0">
    <oddHeader>&amp;R&amp;"Geneva,Bold"&amp;12Exhibit No. __(SJK-2)</oddHeader>
    <oddFooter>&amp;R&amp;"Geneva,Bold"&amp;12Page&amp;P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Liz Andrews</cp:lastModifiedBy>
  <cp:lastPrinted>2010-03-13T03:40:58Z</cp:lastPrinted>
  <dcterms:created xsi:type="dcterms:W3CDTF">2001-03-24T00:02:34Z</dcterms:created>
  <dcterms:modified xsi:type="dcterms:W3CDTF">2010-03-13T03:41:03Z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Testimony</vt:lpwstr>
  </property>
  <property fmtid="{D5CDD505-2E9C-101B-9397-08002B2CF9AE}" pid="4" name="IsHighlyConfidenti">
    <vt:lpwstr>0</vt:lpwstr>
  </property>
  <property fmtid="{D5CDD505-2E9C-101B-9397-08002B2CF9AE}" pid="5" name="DocketNumb">
    <vt:lpwstr>100468</vt:lpwstr>
  </property>
  <property fmtid="{D5CDD505-2E9C-101B-9397-08002B2CF9AE}" pid="6" name="IsConfidenti">
    <vt:lpwstr>0</vt:lpwstr>
  </property>
  <property fmtid="{D5CDD505-2E9C-101B-9397-08002B2CF9AE}" pid="7" name="Dat">
    <vt:lpwstr>2010-03-23T00:00:00Z</vt:lpwstr>
  </property>
  <property fmtid="{D5CDD505-2E9C-101B-9397-08002B2CF9AE}" pid="8" name="CaseTy">
    <vt:lpwstr>Tariff Revision</vt:lpwstr>
  </property>
  <property fmtid="{D5CDD505-2E9C-101B-9397-08002B2CF9AE}" pid="9" name="OpenedDa">
    <vt:lpwstr>2010-03-23T00:00:00Z</vt:lpwstr>
  </property>
  <property fmtid="{D5CDD505-2E9C-101B-9397-08002B2CF9AE}" pid="10" name="Pref">
    <vt:lpwstr>UG</vt:lpwstr>
  </property>
  <property fmtid="{D5CDD505-2E9C-101B-9397-08002B2CF9AE}" pid="11" name="CaseCompanyNam">
    <vt:lpwstr>Avista Corporation</vt:lpwstr>
  </property>
  <property fmtid="{D5CDD505-2E9C-101B-9397-08002B2CF9AE}" pid="12" name="IndustryCo">
    <vt:lpwstr>150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