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7.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customXml/itemProps3.xml" ContentType="application/vnd.openxmlformats-officedocument.customXmlProperties+xml"/>
  <Override PartName="/xl/externalLinks/externalLink1.xml" ContentType="application/vnd.openxmlformats-officedocument.spreadsheetml.externalLink+xml"/>
  <Override PartName="/customXml/itemProps2.xml" ContentType="application/vnd.openxmlformats-officedocument.customXml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comments4.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home.utc.wa.gov/sites/ue-160228/Staffs Testimony and Exhibits/"/>
    </mc:Choice>
  </mc:AlternateContent>
  <bookViews>
    <workbookView xWindow="570" yWindow="-210" windowWidth="20370" windowHeight="12300" tabRatio="853" activeTab="5"/>
  </bookViews>
  <sheets>
    <sheet name="Note " sheetId="79" r:id="rId1"/>
    <sheet name="ROO" sheetId="54" r:id="rId2"/>
    <sheet name="2018 ROO-not used" sheetId="77" state="hidden" r:id="rId3"/>
    <sheet name="RR SUMMARY" sheetId="55" r:id="rId4"/>
    <sheet name="CF" sheetId="56" r:id="rId5"/>
    <sheet name="ADJ DETAIL INPUT" sheetId="1" r:id="rId6"/>
    <sheet name="Recap Summary" sheetId="69" r:id="rId7"/>
    <sheet name="DEBT CALC" sheetId="75" r:id="rId8"/>
    <sheet name="LEAD SHEETS-DO NOT ENTER" sheetId="76" r:id="rId9"/>
    <sheet name="ADJ SUMMARY" sheetId="3" state="hidden" r:id="rId10"/>
    <sheet name="ROO INPUT" sheetId="5" state="hidden" r:id="rId11"/>
  </sheets>
  <externalReferences>
    <externalReference r:id="rId12"/>
    <externalReference r:id="rId13"/>
    <externalReference r:id="rId14"/>
    <externalReference r:id="rId15"/>
    <externalReference r:id="rId16"/>
  </externalReferences>
  <definedNames>
    <definedName name="ID_Elec" localSheetId="2">[1]DebtCalc!#REF!</definedName>
    <definedName name="ID_Elec" localSheetId="4">[2]DebtCalc!#REF!</definedName>
    <definedName name="ID_Elec" localSheetId="7">'DEBT CALC'!$A$85:$F$162</definedName>
    <definedName name="ID_Elec" localSheetId="8">#REF!</definedName>
    <definedName name="ID_Elec" localSheetId="6">#REF!</definedName>
    <definedName name="ID_Elec" localSheetId="1">[1]DebtCalc!#REF!</definedName>
    <definedName name="ID_Elec" localSheetId="3">[1]DebtCalc!#REF!</definedName>
    <definedName name="ID_Gas" localSheetId="7">'DEBT CALC'!#REF!</definedName>
    <definedName name="ID_Gas" localSheetId="8">#REF!</definedName>
    <definedName name="ID_Gas" localSheetId="0">'[3]DEBT CALC'!#REF!</definedName>
    <definedName name="ID_Gas">'[4]DEBT CALC'!#REF!</definedName>
    <definedName name="_xlnm.Print_Area" localSheetId="2">'2018 ROO-not used'!$A$2:$K$83</definedName>
    <definedName name="_xlnm.Print_Area" localSheetId="5">'ADJ DETAIL INPUT'!$A$1:$AV$83</definedName>
    <definedName name="_xlnm.Print_Area" localSheetId="9">'ADJ SUMMARY'!$A$1:$F$65</definedName>
    <definedName name="_xlnm.Print_Area" localSheetId="4">CF!$A$1:$E$29</definedName>
    <definedName name="_xlnm.Print_Area" localSheetId="7">'DEBT CALC'!$A$1:$I$63</definedName>
    <definedName name="_xlnm.Print_Area" localSheetId="8">'LEAD SHEETS-DO NOT ENTER'!$A$2:$AP$82</definedName>
    <definedName name="_xlnm.Print_Area" localSheetId="0">'Note '!$A$3:$L$39</definedName>
    <definedName name="_xlnm.Print_Area" localSheetId="6">'Recap Summary'!$A$1:$J$68</definedName>
    <definedName name="_xlnm.Print_Area" localSheetId="1">ROO!$A$2:$K$84</definedName>
    <definedName name="_xlnm.Print_Area" localSheetId="10">'ROO INPUT'!$A$3:$G$82</definedName>
    <definedName name="_xlnm.Print_Area" localSheetId="3">'RR SUMMARY'!$A$1:$G$41,'RR SUMMARY'!$H$1:$M$22</definedName>
    <definedName name="Print_for_CBReport" localSheetId="6">'Recap Summary'!$A$11:$G$63</definedName>
    <definedName name="Print_for_Checking" localSheetId="7">'[5]ADJ SUMMARY'!$A$1:'[5]ADJ SUMMARY'!#REF!</definedName>
    <definedName name="Print_for_Checking" localSheetId="0">'[3]ADJ SUMMARY'!#REF!:'[3]ADJ SUMMARY'!#REF!</definedName>
    <definedName name="Print_for_Checking" localSheetId="6">'Recap Summary'!$A$11:$G$63</definedName>
    <definedName name="Print_for_Checking">'[4]ADJ SUMMARY'!#REF!:'[4]ADJ SUMMARY'!#REF!</definedName>
    <definedName name="_xlnm.Print_Titles" localSheetId="5">'ADJ DETAIL INPUT'!$A:$D,'ADJ DETAIL INPUT'!$1:$10</definedName>
    <definedName name="_xlnm.Print_Titles" localSheetId="8">'LEAD SHEETS-DO NOT ENTER'!$A:$D,'LEAD SHEETS-DO NOT ENTER'!$2:$11</definedName>
    <definedName name="RRC_Adjustment_Print" localSheetId="0">#REF!</definedName>
    <definedName name="RRC_Adjustment_Print">#REF!</definedName>
    <definedName name="RRC_Rate_Print" localSheetId="0">#REF!</definedName>
    <definedName name="RRC_Rate_Print">#REF!</definedName>
    <definedName name="Summary" localSheetId="7">#REF!</definedName>
    <definedName name="Summary" localSheetId="8">#REF!</definedName>
    <definedName name="Summary" localSheetId="0">#REF!</definedName>
    <definedName name="Summary">#REF!</definedName>
    <definedName name="WA_Elec" localSheetId="2">[1]DebtCalc!#REF!</definedName>
    <definedName name="WA_Elec" localSheetId="4">[2]DebtCalc!#REF!</definedName>
    <definedName name="WA_Elec" localSheetId="7">'DEBT CALC'!$A$1:$F$84</definedName>
    <definedName name="WA_Elec" localSheetId="8">#REF!</definedName>
    <definedName name="WA_Elec" localSheetId="6">#REF!</definedName>
    <definedName name="WA_Elec" localSheetId="1">[1]DebtCalc!#REF!</definedName>
    <definedName name="WA_Elec" localSheetId="3">[1]DebtCalc!#REF!</definedName>
    <definedName name="WA_Gas" localSheetId="7">'DEBT CALC'!#REF!</definedName>
    <definedName name="WA_Gas" localSheetId="8">#REF!</definedName>
    <definedName name="WA_Gas" localSheetId="0">'[3]DEBT CALC'!#REF!</definedName>
    <definedName name="WA_Gas">'[4]DEBT CALC'!#REF!</definedName>
    <definedName name="Z_5BE913A1_B14F_11D2_B0DC_0000832CDFF0_.wvu.Cols" localSheetId="5" hidden="1">'ADJ DETAIL INPUT'!$V:$AK</definedName>
    <definedName name="Z_5BE913A1_B14F_11D2_B0DC_0000832CDFF0_.wvu.Cols" localSheetId="8" hidden="1">'LEAD SHEETS-DO NOT ENTER'!$X:$Z</definedName>
    <definedName name="Z_5BE913A1_B14F_11D2_B0DC_0000832CDFF0_.wvu.PrintArea" localSheetId="5" hidden="1">'ADJ DETAIL INPUT'!$E$11:$AK$82</definedName>
    <definedName name="Z_5BE913A1_B14F_11D2_B0DC_0000832CDFF0_.wvu.PrintArea" localSheetId="9" hidden="1">'ADJ SUMMARY'!$A$1:$G$77</definedName>
    <definedName name="Z_5BE913A1_B14F_11D2_B0DC_0000832CDFF0_.wvu.PrintArea" localSheetId="8" hidden="1">'LEAD SHEETS-DO NOT ENTER'!$E$12:$Z$83</definedName>
    <definedName name="Z_5BE913A1_B14F_11D2_B0DC_0000832CDFF0_.wvu.PrintArea" localSheetId="6" hidden="1">'Recap Summary'!$A$11:$G$63</definedName>
    <definedName name="Z_5BE913A1_B14F_11D2_B0DC_0000832CDFF0_.wvu.PrintArea" localSheetId="10" hidden="1">'ROO INPUT'!$A$3:$G$82</definedName>
    <definedName name="Z_5BE913A1_B14F_11D2_B0DC_0000832CDFF0_.wvu.PrintTitles" localSheetId="5" hidden="1">'ADJ DETAIL INPUT'!$A:$D,'ADJ DETAIL INPUT'!$1:$10</definedName>
    <definedName name="Z_5BE913A1_B14F_11D2_B0DC_0000832CDFF0_.wvu.PrintTitles" localSheetId="8" hidden="1">'LEAD SHEETS-DO NOT ENTER'!$A:$D,'LEAD SHEETS-DO NOT ENTER'!$2:$11</definedName>
    <definedName name="Z_5BE913A1_B14F_11D2_B0DC_0000832CDFF0_.wvu.Rows" localSheetId="9" hidden="1">'ADJ SUMMARY'!$24:$24,'ADJ SUMMARY'!$29:$73,'ADJ SUMMARY'!#REF!</definedName>
    <definedName name="Z_5BE913A1_B14F_11D2_B0DC_0000832CDFF0_.wvu.Rows" localSheetId="6" hidden="1">'Recap Summary'!$31:$31,'Recap Summary'!$36:$63,'Recap Summary'!#REF!</definedName>
    <definedName name="Z_A15D1964_B049_11D2_8670_0000832CEEE8_.wvu.Cols" localSheetId="5" hidden="1">'ADJ DETAIL INPUT'!$V:$AK</definedName>
    <definedName name="Z_A15D1964_B049_11D2_8670_0000832CEEE8_.wvu.Cols" localSheetId="8" hidden="1">'LEAD SHEETS-DO NOT ENTER'!$X:$Z</definedName>
    <definedName name="Z_A15D1964_B049_11D2_8670_0000832CEEE8_.wvu.PrintArea" localSheetId="5" hidden="1">'ADJ DETAIL INPUT'!$E$11:$AK$82</definedName>
    <definedName name="Z_A15D1964_B049_11D2_8670_0000832CEEE8_.wvu.PrintArea" localSheetId="9" hidden="1">'ADJ SUMMARY'!$A$1:$G$77</definedName>
    <definedName name="Z_A15D1964_B049_11D2_8670_0000832CEEE8_.wvu.PrintArea" localSheetId="8" hidden="1">'LEAD SHEETS-DO NOT ENTER'!$E$12:$Z$83</definedName>
    <definedName name="Z_A15D1964_B049_11D2_8670_0000832CEEE8_.wvu.PrintArea" localSheetId="6" hidden="1">'Recap Summary'!$A$11:$G$63</definedName>
    <definedName name="Z_A15D1964_B049_11D2_8670_0000832CEEE8_.wvu.PrintArea" localSheetId="10" hidden="1">'ROO INPUT'!$A$3:$G$82</definedName>
    <definedName name="Z_A15D1964_B049_11D2_8670_0000832CEEE8_.wvu.PrintTitles" localSheetId="5" hidden="1">'ADJ DETAIL INPUT'!$A:$D,'ADJ DETAIL INPUT'!$1:$10</definedName>
    <definedName name="Z_A15D1964_B049_11D2_8670_0000832CEEE8_.wvu.PrintTitles" localSheetId="8" hidden="1">'LEAD SHEETS-DO NOT ENTER'!$A:$D,'LEAD SHEETS-DO NOT ENTER'!$2:$11</definedName>
    <definedName name="Z_A15D1964_B049_11D2_8670_0000832CEEE8_.wvu.Rows" localSheetId="9" hidden="1">'ADJ SUMMARY'!$24:$24,'ADJ SUMMARY'!$29:$73,'ADJ SUMMARY'!#REF!</definedName>
    <definedName name="Z_A15D1964_B049_11D2_8670_0000832CEEE8_.wvu.Rows" localSheetId="6" hidden="1">'Recap Summary'!$31:$31,'Recap Summary'!$36:$63,'Recap Summary'!#REF!</definedName>
  </definedNames>
  <calcPr calcId="152511" calcMode="manual"/>
  <customWorkbookViews>
    <customWorkbookView name="Kathy Mitchell - Personal View" guid="{A15D1964-B049-11D2-8670-0000832CEEE8}" mergeInterval="0" personalView="1" maximized="1" windowWidth="796" windowHeight="436" activeSheetId="1"/>
    <customWorkbookView name="Don Falkner - Personal View" guid="{5BE913A1-B14F-11D2-B0DC-0000832CDFF0}" mergeInterval="0" personalView="1" maximized="1" windowWidth="1020" windowHeight="604" activeSheetId="2"/>
  </customWorkbookViews>
</workbook>
</file>

<file path=xl/calcChain.xml><?xml version="1.0" encoding="utf-8"?>
<calcChain xmlns="http://schemas.openxmlformats.org/spreadsheetml/2006/main">
  <c r="A4" i="69" l="1"/>
  <c r="AU71" i="1" l="1"/>
  <c r="AU65" i="1"/>
  <c r="AU47" i="1"/>
  <c r="AU36" i="1"/>
  <c r="AU30" i="1"/>
  <c r="AU24" i="1"/>
  <c r="AU17" i="1"/>
  <c r="AU72" i="1" l="1"/>
  <c r="AU74" i="1" s="1"/>
  <c r="AU81" i="1" s="1"/>
  <c r="AU48" i="1"/>
  <c r="AU50" i="1" s="1"/>
  <c r="AU58" i="1" s="1"/>
  <c r="AH70" i="1" l="1"/>
  <c r="AH44" i="1"/>
  <c r="AH64" i="1" l="1"/>
  <c r="K13" i="55" l="1"/>
  <c r="K17" i="55" s="1"/>
  <c r="G60" i="69"/>
  <c r="F60" i="69"/>
  <c r="L13" i="55" l="1"/>
  <c r="I60" i="69"/>
  <c r="H60" i="69"/>
  <c r="J60" i="69" s="1"/>
  <c r="M12" i="55" l="1"/>
  <c r="M11" i="55"/>
  <c r="M13" i="55" l="1"/>
  <c r="E58" i="69"/>
  <c r="E59" i="69"/>
  <c r="E57" i="69"/>
  <c r="E56" i="69"/>
  <c r="E55" i="69"/>
  <c r="E54" i="69"/>
  <c r="E53" i="69"/>
  <c r="E52" i="69"/>
  <c r="E49" i="69"/>
  <c r="E48" i="69"/>
  <c r="E47" i="69"/>
  <c r="E46" i="69"/>
  <c r="E45" i="69"/>
  <c r="E44" i="69"/>
  <c r="E43" i="69"/>
  <c r="E42" i="69"/>
  <c r="E41" i="69"/>
  <c r="E40" i="69"/>
  <c r="E39" i="69"/>
  <c r="E33" i="69"/>
  <c r="E32" i="69"/>
  <c r="E31" i="69"/>
  <c r="E30" i="69"/>
  <c r="E29" i="69"/>
  <c r="E28" i="69"/>
  <c r="E27" i="69"/>
  <c r="E26" i="69"/>
  <c r="E25" i="69"/>
  <c r="E24" i="69"/>
  <c r="E23" i="69"/>
  <c r="E22" i="69"/>
  <c r="E21" i="69"/>
  <c r="E20" i="69"/>
  <c r="E19" i="69"/>
  <c r="E12" i="69"/>
  <c r="E13" i="69"/>
  <c r="E14" i="69"/>
  <c r="E11" i="69"/>
  <c r="E17" i="69" l="1"/>
  <c r="E35" i="69" s="1"/>
  <c r="E61" i="69" s="1"/>
  <c r="J65" i="69" s="1"/>
  <c r="AG73" i="1" l="1"/>
  <c r="AG70" i="1"/>
  <c r="AG69" i="1"/>
  <c r="AG68" i="1"/>
  <c r="AG64" i="1"/>
  <c r="AG63" i="1"/>
  <c r="AG62" i="1"/>
  <c r="AG44" i="1"/>
  <c r="AG34" i="1"/>
  <c r="AG28" i="1"/>
  <c r="AC45" i="55"/>
  <c r="A4" i="55" l="1"/>
  <c r="A4" i="77" l="1"/>
  <c r="J72" i="77" l="1"/>
  <c r="J66" i="77"/>
  <c r="J73" i="77" s="1"/>
  <c r="J75" i="77" s="1"/>
  <c r="J81" i="77" s="1"/>
  <c r="J55" i="77"/>
  <c r="J31" i="77"/>
  <c r="J25" i="77"/>
  <c r="AK84" i="77" l="1"/>
  <c r="I72" i="77"/>
  <c r="I66" i="77"/>
  <c r="I55" i="77"/>
  <c r="I31" i="77"/>
  <c r="I25" i="77"/>
  <c r="A6" i="77"/>
  <c r="A5" i="77"/>
  <c r="A3" i="77"/>
  <c r="A2" i="77"/>
  <c r="I73" i="77" l="1"/>
  <c r="I75" i="77" s="1"/>
  <c r="I81" i="77" s="1"/>
  <c r="B58" i="69"/>
  <c r="B52" i="69"/>
  <c r="A52" i="69"/>
  <c r="R38" i="1" l="1"/>
  <c r="R43" i="1"/>
  <c r="M15" i="55" l="1"/>
  <c r="M17" i="55" s="1"/>
  <c r="AO8" i="76" l="1"/>
  <c r="AO9" i="76"/>
  <c r="AO10" i="76"/>
  <c r="AO12" i="76"/>
  <c r="AO15" i="76"/>
  <c r="AO16" i="76"/>
  <c r="AO17" i="76"/>
  <c r="AO22" i="76"/>
  <c r="AO23" i="76"/>
  <c r="AO24" i="76"/>
  <c r="AO28" i="76"/>
  <c r="AO29" i="76"/>
  <c r="AO30" i="76"/>
  <c r="AO34" i="76"/>
  <c r="AO35" i="76"/>
  <c r="AO36" i="76"/>
  <c r="AO39" i="76"/>
  <c r="AO40" i="76"/>
  <c r="AO41" i="76"/>
  <c r="AO44" i="76"/>
  <c r="AO45" i="76"/>
  <c r="AO46" i="76"/>
  <c r="AO47" i="76"/>
  <c r="AO56" i="76"/>
  <c r="AO57" i="76"/>
  <c r="AO63" i="76"/>
  <c r="AO64" i="76"/>
  <c r="AO65" i="76"/>
  <c r="AO69" i="76"/>
  <c r="AO70" i="76"/>
  <c r="AO71" i="76"/>
  <c r="AO74" i="76"/>
  <c r="AO76" i="76"/>
  <c r="AO77" i="76"/>
  <c r="AO78" i="76"/>
  <c r="AO79" i="76"/>
  <c r="C59" i="3"/>
  <c r="B59" i="3"/>
  <c r="C49" i="3"/>
  <c r="B47" i="75" s="1"/>
  <c r="B49" i="3"/>
  <c r="AR71" i="1"/>
  <c r="AR65" i="1"/>
  <c r="AR47" i="1"/>
  <c r="AR36" i="1"/>
  <c r="AR30" i="1"/>
  <c r="AR24" i="1"/>
  <c r="AR17" i="1"/>
  <c r="AO48" i="76" l="1"/>
  <c r="AO18" i="76"/>
  <c r="AO72" i="76"/>
  <c r="AO31" i="76"/>
  <c r="AO37" i="76"/>
  <c r="AO66" i="76"/>
  <c r="AO25" i="76"/>
  <c r="AR48" i="1"/>
  <c r="AR50" i="1" s="1"/>
  <c r="AR53" i="1" s="1"/>
  <c r="AO54" i="76" s="1"/>
  <c r="AR72" i="1"/>
  <c r="AR74" i="1" s="1"/>
  <c r="AR81" i="1" s="1"/>
  <c r="G58" i="69" s="1"/>
  <c r="E59" i="3" l="1"/>
  <c r="AO49" i="76"/>
  <c r="AO51" i="76" s="1"/>
  <c r="E49" i="3"/>
  <c r="AO73" i="76"/>
  <c r="AO75" i="76" s="1"/>
  <c r="AO82" i="76" s="1"/>
  <c r="C57" i="3"/>
  <c r="B57" i="3"/>
  <c r="B56" i="69"/>
  <c r="C47" i="3"/>
  <c r="B45" i="75" s="1"/>
  <c r="B47" i="3"/>
  <c r="AM8" i="76" l="1"/>
  <c r="AM9" i="76"/>
  <c r="AM10" i="76"/>
  <c r="AM12" i="76"/>
  <c r="AM15" i="76"/>
  <c r="AM16" i="76"/>
  <c r="AM17" i="76"/>
  <c r="AM22" i="76"/>
  <c r="AM23" i="76"/>
  <c r="AM24" i="76"/>
  <c r="AM28" i="76"/>
  <c r="AM29" i="76"/>
  <c r="AM30" i="76"/>
  <c r="AM34" i="76"/>
  <c r="AM35" i="76"/>
  <c r="AM36" i="76"/>
  <c r="AM39" i="76"/>
  <c r="AM40" i="76"/>
  <c r="AM41" i="76"/>
  <c r="AM44" i="76"/>
  <c r="AM45" i="76"/>
  <c r="AM46" i="76"/>
  <c r="AM47" i="76"/>
  <c r="AM56" i="76"/>
  <c r="AM57" i="76"/>
  <c r="AM63" i="76"/>
  <c r="AM64" i="76"/>
  <c r="AM65" i="76"/>
  <c r="AM69" i="76"/>
  <c r="AM70" i="76"/>
  <c r="AM71" i="76"/>
  <c r="AM74" i="76"/>
  <c r="AM76" i="76"/>
  <c r="AM77" i="76"/>
  <c r="AM78" i="76"/>
  <c r="AM79" i="76"/>
  <c r="AP71" i="1"/>
  <c r="AP65" i="1"/>
  <c r="AP47" i="1"/>
  <c r="AP36" i="1"/>
  <c r="AP30" i="1"/>
  <c r="AP24" i="1"/>
  <c r="AP17" i="1"/>
  <c r="E57" i="3" l="1"/>
  <c r="AP48" i="1"/>
  <c r="AP50" i="1" s="1"/>
  <c r="AP72" i="1"/>
  <c r="AP74" i="1" s="1"/>
  <c r="AP81" i="1" s="1"/>
  <c r="AM72" i="76"/>
  <c r="AM25" i="76"/>
  <c r="AM18" i="76"/>
  <c r="AM37" i="76"/>
  <c r="AM66" i="76"/>
  <c r="AM48" i="76"/>
  <c r="AM31" i="76"/>
  <c r="AI79" i="76"/>
  <c r="AI78" i="76"/>
  <c r="AI77" i="76"/>
  <c r="AI76" i="76"/>
  <c r="AI74" i="76"/>
  <c r="AI71" i="76"/>
  <c r="AI70" i="76"/>
  <c r="AI69" i="76"/>
  <c r="AI65" i="76"/>
  <c r="AI64" i="76"/>
  <c r="AI63" i="76"/>
  <c r="AI57" i="76"/>
  <c r="AI56" i="76"/>
  <c r="AI47" i="76"/>
  <c r="AI46" i="76"/>
  <c r="AI45" i="76"/>
  <c r="AI44" i="76"/>
  <c r="AI41" i="76"/>
  <c r="AI40" i="76"/>
  <c r="AI39" i="76"/>
  <c r="AI36" i="76"/>
  <c r="AI35" i="76"/>
  <c r="AI34" i="76"/>
  <c r="AI30" i="76"/>
  <c r="AI29" i="76"/>
  <c r="AI28" i="76"/>
  <c r="AI24" i="76"/>
  <c r="AI23" i="76"/>
  <c r="AI22" i="76"/>
  <c r="AI17" i="76"/>
  <c r="AI16" i="76"/>
  <c r="AI15" i="76"/>
  <c r="AI12" i="76"/>
  <c r="AI11" i="76"/>
  <c r="AI10" i="76"/>
  <c r="AI9" i="76"/>
  <c r="AI8" i="76"/>
  <c r="C43" i="3"/>
  <c r="B43" i="3"/>
  <c r="A43" i="3"/>
  <c r="C44" i="3"/>
  <c r="B42" i="75" s="1"/>
  <c r="B44" i="3"/>
  <c r="AL71" i="1"/>
  <c r="AL65" i="1"/>
  <c r="AL47" i="1"/>
  <c r="AL36" i="1"/>
  <c r="AL30" i="1"/>
  <c r="AL24" i="1"/>
  <c r="AL17" i="1"/>
  <c r="AM10" i="1"/>
  <c r="A44" i="3" s="1"/>
  <c r="A42" i="75" s="1"/>
  <c r="V24" i="1"/>
  <c r="Z47" i="1"/>
  <c r="V36" i="1"/>
  <c r="C61" i="3"/>
  <c r="C60" i="3"/>
  <c r="C58" i="3"/>
  <c r="C56" i="3"/>
  <c r="C55" i="3"/>
  <c r="B61" i="3"/>
  <c r="B60" i="3"/>
  <c r="B58" i="3"/>
  <c r="B56" i="3"/>
  <c r="B55" i="3"/>
  <c r="A55" i="3"/>
  <c r="H63" i="3"/>
  <c r="AL72" i="1" l="1"/>
  <c r="AL74" i="1" s="1"/>
  <c r="AL81" i="1" s="1"/>
  <c r="G56" i="69"/>
  <c r="E47" i="3"/>
  <c r="AM73" i="76"/>
  <c r="AM75" i="76" s="1"/>
  <c r="AM82" i="76" s="1"/>
  <c r="AM49" i="76"/>
  <c r="AM51" i="76" s="1"/>
  <c r="AP53" i="1"/>
  <c r="AM54" i="76" s="1"/>
  <c r="AI66" i="76"/>
  <c r="AI37" i="76"/>
  <c r="AI18" i="76"/>
  <c r="AI72" i="76"/>
  <c r="AI48" i="76"/>
  <c r="AI31" i="76"/>
  <c r="AL48" i="1"/>
  <c r="AL50" i="1" s="1"/>
  <c r="AI25" i="76"/>
  <c r="E56" i="3"/>
  <c r="A56" i="3"/>
  <c r="E61" i="3"/>
  <c r="B57" i="69"/>
  <c r="B55" i="69"/>
  <c r="B47" i="69"/>
  <c r="E43" i="3" l="1"/>
  <c r="G52" i="69"/>
  <c r="AI49" i="76"/>
  <c r="AI51" i="76" s="1"/>
  <c r="AI73" i="76"/>
  <c r="AI75" i="76" s="1"/>
  <c r="AI82" i="76" s="1"/>
  <c r="AL53" i="1"/>
  <c r="AI54" i="76" s="1"/>
  <c r="E60" i="3"/>
  <c r="E55" i="3"/>
  <c r="E58" i="3"/>
  <c r="B33" i="69"/>
  <c r="W8" i="76"/>
  <c r="W9" i="76"/>
  <c r="W10" i="76"/>
  <c r="W12" i="76"/>
  <c r="W15" i="76"/>
  <c r="W16" i="76"/>
  <c r="W17" i="76"/>
  <c r="W22" i="76"/>
  <c r="W23" i="76"/>
  <c r="W24" i="76"/>
  <c r="W28" i="76"/>
  <c r="W29" i="76"/>
  <c r="W30" i="76"/>
  <c r="W34" i="76"/>
  <c r="W35" i="76"/>
  <c r="W36" i="76"/>
  <c r="W39" i="76"/>
  <c r="W40" i="76"/>
  <c r="W41" i="76"/>
  <c r="W44" i="76"/>
  <c r="W45" i="76"/>
  <c r="W46" i="76"/>
  <c r="W47" i="76"/>
  <c r="W56" i="76"/>
  <c r="W57" i="76"/>
  <c r="W63" i="76"/>
  <c r="W64" i="76"/>
  <c r="W65" i="76"/>
  <c r="W69" i="76"/>
  <c r="W70" i="76"/>
  <c r="W71" i="76"/>
  <c r="W74" i="76"/>
  <c r="W76" i="76"/>
  <c r="W77" i="76"/>
  <c r="W78" i="76"/>
  <c r="W79" i="76"/>
  <c r="AE8" i="76"/>
  <c r="AD8" i="76"/>
  <c r="AF8" i="76"/>
  <c r="AG8" i="76"/>
  <c r="AH8" i="76"/>
  <c r="AJ8" i="76"/>
  <c r="AK8" i="76"/>
  <c r="AL8" i="76"/>
  <c r="AN8" i="76"/>
  <c r="AP8" i="76"/>
  <c r="AE9" i="76"/>
  <c r="AD9" i="76"/>
  <c r="AF9" i="76"/>
  <c r="AG9" i="76"/>
  <c r="AH9" i="76"/>
  <c r="AJ9" i="76"/>
  <c r="AK9" i="76"/>
  <c r="AL9" i="76"/>
  <c r="AN9" i="76"/>
  <c r="AP9" i="76"/>
  <c r="AE10" i="76"/>
  <c r="AD10" i="76"/>
  <c r="AF10" i="76"/>
  <c r="AG10" i="76"/>
  <c r="AH10" i="76"/>
  <c r="AJ10" i="76"/>
  <c r="AK10" i="76"/>
  <c r="AL10" i="76"/>
  <c r="AN10" i="76"/>
  <c r="AP10" i="76"/>
  <c r="AJ11" i="76"/>
  <c r="AE12" i="76"/>
  <c r="AD12" i="76"/>
  <c r="AF12" i="76"/>
  <c r="AG12" i="76"/>
  <c r="AH12" i="76"/>
  <c r="AJ12" i="76"/>
  <c r="AK12" i="76"/>
  <c r="AL12" i="76"/>
  <c r="AN12" i="76"/>
  <c r="AP12" i="76"/>
  <c r="AE15" i="76"/>
  <c r="AD15" i="76"/>
  <c r="AF15" i="76"/>
  <c r="AG15" i="76"/>
  <c r="AH15" i="76"/>
  <c r="AJ15" i="76"/>
  <c r="AK15" i="76"/>
  <c r="AL15" i="76"/>
  <c r="AN15" i="76"/>
  <c r="AP15" i="76"/>
  <c r="AE16" i="76"/>
  <c r="AD16" i="76"/>
  <c r="AF16" i="76"/>
  <c r="AG16" i="76"/>
  <c r="AH16" i="76"/>
  <c r="AJ16" i="76"/>
  <c r="AK16" i="76"/>
  <c r="AL16" i="76"/>
  <c r="AN16" i="76"/>
  <c r="AP16" i="76"/>
  <c r="AE17" i="76"/>
  <c r="AD17" i="76"/>
  <c r="AF17" i="76"/>
  <c r="AG17" i="76"/>
  <c r="AH17" i="76"/>
  <c r="AJ17" i="76"/>
  <c r="AK17" i="76"/>
  <c r="AL17" i="76"/>
  <c r="AN17" i="76"/>
  <c r="AP17" i="76"/>
  <c r="AE22" i="76"/>
  <c r="AD22" i="76"/>
  <c r="AF22" i="76"/>
  <c r="AG22" i="76"/>
  <c r="AH22" i="76"/>
  <c r="AJ22" i="76"/>
  <c r="AK22" i="76"/>
  <c r="AL22" i="76"/>
  <c r="AN22" i="76"/>
  <c r="AP22" i="76"/>
  <c r="AE23" i="76"/>
  <c r="AD23" i="76"/>
  <c r="AF23" i="76"/>
  <c r="AG23" i="76"/>
  <c r="AH23" i="76"/>
  <c r="AJ23" i="76"/>
  <c r="AK23" i="76"/>
  <c r="AL23" i="76"/>
  <c r="AN23" i="76"/>
  <c r="AP23" i="76"/>
  <c r="AE24" i="76"/>
  <c r="AD24" i="76"/>
  <c r="AF24" i="76"/>
  <c r="AG24" i="76"/>
  <c r="AH24" i="76"/>
  <c r="AJ24" i="76"/>
  <c r="AK24" i="76"/>
  <c r="AL24" i="76"/>
  <c r="AN24" i="76"/>
  <c r="AP24" i="76"/>
  <c r="AE28" i="76"/>
  <c r="AD28" i="76"/>
  <c r="AF28" i="76"/>
  <c r="AG28" i="76"/>
  <c r="AH28" i="76"/>
  <c r="AJ28" i="76"/>
  <c r="AK28" i="76"/>
  <c r="AL28" i="76"/>
  <c r="AN28" i="76"/>
  <c r="AP28" i="76"/>
  <c r="AE29" i="76"/>
  <c r="AD29" i="76"/>
  <c r="AF29" i="76"/>
  <c r="AG29" i="76"/>
  <c r="AH29" i="76"/>
  <c r="AJ29" i="76"/>
  <c r="AK29" i="76"/>
  <c r="AL29" i="76"/>
  <c r="AN29" i="76"/>
  <c r="AP29" i="76"/>
  <c r="AE30" i="76"/>
  <c r="AD30" i="76"/>
  <c r="AF30" i="76"/>
  <c r="AG30" i="76"/>
  <c r="AH30" i="76"/>
  <c r="AJ30" i="76"/>
  <c r="AK30" i="76"/>
  <c r="AL30" i="76"/>
  <c r="AN30" i="76"/>
  <c r="AP30" i="76"/>
  <c r="AE34" i="76"/>
  <c r="AD34" i="76"/>
  <c r="AF34" i="76"/>
  <c r="AG34" i="76"/>
  <c r="AH34" i="76"/>
  <c r="AJ34" i="76"/>
  <c r="AK34" i="76"/>
  <c r="AL34" i="76"/>
  <c r="AN34" i="76"/>
  <c r="AP34" i="76"/>
  <c r="AE35" i="76"/>
  <c r="AD35" i="76"/>
  <c r="AF35" i="76"/>
  <c r="AG35" i="76"/>
  <c r="AH35" i="76"/>
  <c r="AJ35" i="76"/>
  <c r="AK35" i="76"/>
  <c r="AL35" i="76"/>
  <c r="AN35" i="76"/>
  <c r="AP35" i="76"/>
  <c r="AE36" i="76"/>
  <c r="AD36" i="76"/>
  <c r="AF36" i="76"/>
  <c r="AG36" i="76"/>
  <c r="AH36" i="76"/>
  <c r="AJ36" i="76"/>
  <c r="AK36" i="76"/>
  <c r="AL36" i="76"/>
  <c r="AN36" i="76"/>
  <c r="AP36" i="76"/>
  <c r="AE39" i="76"/>
  <c r="AD39" i="76"/>
  <c r="AF39" i="76"/>
  <c r="AG39" i="76"/>
  <c r="AH39" i="76"/>
  <c r="AJ39" i="76"/>
  <c r="AK39" i="76"/>
  <c r="AL39" i="76"/>
  <c r="AN39" i="76"/>
  <c r="AP39" i="76"/>
  <c r="AE40" i="76"/>
  <c r="AD40" i="76"/>
  <c r="AF40" i="76"/>
  <c r="AG40" i="76"/>
  <c r="AH40" i="76"/>
  <c r="AJ40" i="76"/>
  <c r="AK40" i="76"/>
  <c r="AL40" i="76"/>
  <c r="AN40" i="76"/>
  <c r="AP40" i="76"/>
  <c r="AE41" i="76"/>
  <c r="AD41" i="76"/>
  <c r="AF41" i="76"/>
  <c r="AG41" i="76"/>
  <c r="AH41" i="76"/>
  <c r="AJ41" i="76"/>
  <c r="AK41" i="76"/>
  <c r="AL41" i="76"/>
  <c r="AN41" i="76"/>
  <c r="AP41" i="76"/>
  <c r="AE44" i="76"/>
  <c r="AD44" i="76"/>
  <c r="AF44" i="76"/>
  <c r="AG44" i="76"/>
  <c r="AH44" i="76"/>
  <c r="AJ44" i="76"/>
  <c r="AK44" i="76"/>
  <c r="AL44" i="76"/>
  <c r="AN44" i="76"/>
  <c r="AP44" i="76"/>
  <c r="AE45" i="76"/>
  <c r="AD45" i="76"/>
  <c r="AG45" i="76"/>
  <c r="AH45" i="76"/>
  <c r="AJ45" i="76"/>
  <c r="AK45" i="76"/>
  <c r="AL45" i="76"/>
  <c r="AN45" i="76"/>
  <c r="AP45" i="76"/>
  <c r="AE46" i="76"/>
  <c r="AD46" i="76"/>
  <c r="AF46" i="76"/>
  <c r="AG46" i="76"/>
  <c r="AH46" i="76"/>
  <c r="AJ46" i="76"/>
  <c r="AK46" i="76"/>
  <c r="AL46" i="76"/>
  <c r="AN46" i="76"/>
  <c r="AP46" i="76"/>
  <c r="AE47" i="76"/>
  <c r="AD47" i="76"/>
  <c r="AF47" i="76"/>
  <c r="AG47" i="76"/>
  <c r="AH47" i="76"/>
  <c r="AJ47" i="76"/>
  <c r="AK47" i="76"/>
  <c r="AL47" i="76"/>
  <c r="AN47" i="76"/>
  <c r="AP47" i="76"/>
  <c r="AE56" i="76"/>
  <c r="AD56" i="76"/>
  <c r="AF56" i="76"/>
  <c r="AG56" i="76"/>
  <c r="AH56" i="76"/>
  <c r="AJ56" i="76"/>
  <c r="AK56" i="76"/>
  <c r="AL56" i="76"/>
  <c r="AN56" i="76"/>
  <c r="AP56" i="76"/>
  <c r="AE57" i="76"/>
  <c r="AD57" i="76"/>
  <c r="AF57" i="76"/>
  <c r="AG57" i="76"/>
  <c r="AH57" i="76"/>
  <c r="AJ57" i="76"/>
  <c r="AK57" i="76"/>
  <c r="AL57" i="76"/>
  <c r="AN57" i="76"/>
  <c r="AP57" i="76"/>
  <c r="AE63" i="76"/>
  <c r="AD63" i="76"/>
  <c r="AF63" i="76"/>
  <c r="AG63" i="76"/>
  <c r="AH63" i="76"/>
  <c r="AJ63" i="76"/>
  <c r="AK63" i="76"/>
  <c r="AL63" i="76"/>
  <c r="AN63" i="76"/>
  <c r="AP63" i="76"/>
  <c r="AE64" i="76"/>
  <c r="AD64" i="76"/>
  <c r="AG64" i="76"/>
  <c r="AH64" i="76"/>
  <c r="AJ64" i="76"/>
  <c r="AK64" i="76"/>
  <c r="AL64" i="76"/>
  <c r="AN64" i="76"/>
  <c r="AP64" i="76"/>
  <c r="AE65" i="76"/>
  <c r="AD65" i="76"/>
  <c r="AG65" i="76"/>
  <c r="AH65" i="76"/>
  <c r="AJ65" i="76"/>
  <c r="AK65" i="76"/>
  <c r="AL65" i="76"/>
  <c r="AN65" i="76"/>
  <c r="AP65" i="76"/>
  <c r="AE69" i="76"/>
  <c r="AD69" i="76"/>
  <c r="AF69" i="76"/>
  <c r="AG69" i="76"/>
  <c r="AH69" i="76"/>
  <c r="AJ69" i="76"/>
  <c r="AK69" i="76"/>
  <c r="AL69" i="76"/>
  <c r="AN69" i="76"/>
  <c r="AP69" i="76"/>
  <c r="AE70" i="76"/>
  <c r="AD70" i="76"/>
  <c r="AF70" i="76"/>
  <c r="AG70" i="76"/>
  <c r="AH70" i="76"/>
  <c r="AJ70" i="76"/>
  <c r="AK70" i="76"/>
  <c r="AL70" i="76"/>
  <c r="AN70" i="76"/>
  <c r="AP70" i="76"/>
  <c r="AE71" i="76"/>
  <c r="AD71" i="76"/>
  <c r="AG71" i="76"/>
  <c r="AH71" i="76"/>
  <c r="AJ71" i="76"/>
  <c r="AK71" i="76"/>
  <c r="AL71" i="76"/>
  <c r="AN71" i="76"/>
  <c r="AP71" i="76"/>
  <c r="AE74" i="76"/>
  <c r="AD74" i="76"/>
  <c r="AG74" i="76"/>
  <c r="AH74" i="76"/>
  <c r="AJ74" i="76"/>
  <c r="AK74" i="76"/>
  <c r="AL74" i="76"/>
  <c r="AN74" i="76"/>
  <c r="AP74" i="76"/>
  <c r="AE76" i="76"/>
  <c r="AD76" i="76"/>
  <c r="AF76" i="76"/>
  <c r="AG76" i="76"/>
  <c r="AH76" i="76"/>
  <c r="AJ76" i="76"/>
  <c r="AK76" i="76"/>
  <c r="AL76" i="76"/>
  <c r="AN76" i="76"/>
  <c r="AP76" i="76"/>
  <c r="AE77" i="76"/>
  <c r="AD77" i="76"/>
  <c r="AF77" i="76"/>
  <c r="AG77" i="76"/>
  <c r="AH77" i="76"/>
  <c r="AJ77" i="76"/>
  <c r="AK77" i="76"/>
  <c r="AL77" i="76"/>
  <c r="AN77" i="76"/>
  <c r="AP77" i="76"/>
  <c r="AE78" i="76"/>
  <c r="AD78" i="76"/>
  <c r="AF78" i="76"/>
  <c r="AG78" i="76"/>
  <c r="AH78" i="76"/>
  <c r="AJ78" i="76"/>
  <c r="AK78" i="76"/>
  <c r="AL78" i="76"/>
  <c r="AN78" i="76"/>
  <c r="AP78" i="76"/>
  <c r="AE79" i="76"/>
  <c r="AD79" i="76"/>
  <c r="AF79" i="76"/>
  <c r="AG79" i="76"/>
  <c r="AH79" i="76"/>
  <c r="AJ79" i="76"/>
  <c r="AK79" i="76"/>
  <c r="AL79" i="76"/>
  <c r="AN79" i="76"/>
  <c r="AP79" i="76"/>
  <c r="C48" i="3"/>
  <c r="B46" i="75" s="1"/>
  <c r="C46" i="3"/>
  <c r="B44" i="75" s="1"/>
  <c r="B48" i="3"/>
  <c r="B46" i="3"/>
  <c r="C38" i="3"/>
  <c r="B38" i="75" s="1"/>
  <c r="B38" i="3"/>
  <c r="C45" i="3"/>
  <c r="B43" i="75" s="1"/>
  <c r="B45" i="3"/>
  <c r="AQ71" i="1"/>
  <c r="AO71" i="1"/>
  <c r="AQ65" i="1"/>
  <c r="AO65" i="1"/>
  <c r="AQ47" i="1"/>
  <c r="AO47" i="1"/>
  <c r="AQ36" i="1"/>
  <c r="AO36" i="1"/>
  <c r="AQ30" i="1"/>
  <c r="AO30" i="1"/>
  <c r="AQ24" i="1"/>
  <c r="AO24" i="1"/>
  <c r="AQ17" i="1"/>
  <c r="AO17" i="1"/>
  <c r="AF74" i="76"/>
  <c r="AG71" i="1"/>
  <c r="AF65" i="76"/>
  <c r="AF64" i="76"/>
  <c r="AG47" i="1"/>
  <c r="AG36" i="1"/>
  <c r="AG30" i="1"/>
  <c r="AG24" i="1"/>
  <c r="AG17" i="1"/>
  <c r="A57" i="3" l="1"/>
  <c r="W18" i="76"/>
  <c r="AF71" i="76"/>
  <c r="AF72" i="76" s="1"/>
  <c r="AO72" i="1"/>
  <c r="AO74" i="1" s="1"/>
  <c r="AO81" i="1" s="1"/>
  <c r="W66" i="76"/>
  <c r="W25" i="76"/>
  <c r="W37" i="76"/>
  <c r="W72" i="76"/>
  <c r="W31" i="76"/>
  <c r="W48" i="76"/>
  <c r="AF45" i="76"/>
  <c r="AF48" i="76" s="1"/>
  <c r="AO48" i="1"/>
  <c r="AO50" i="1" s="1"/>
  <c r="AO53" i="1" s="1"/>
  <c r="AE31" i="76"/>
  <c r="AH25" i="76"/>
  <c r="AE48" i="76"/>
  <c r="AH37" i="76"/>
  <c r="AE18" i="76"/>
  <c r="AK72" i="76"/>
  <c r="AK66" i="76"/>
  <c r="AP31" i="76"/>
  <c r="AH31" i="76"/>
  <c r="AP18" i="76"/>
  <c r="AG72" i="76"/>
  <c r="AP48" i="76"/>
  <c r="AH18" i="76"/>
  <c r="AH48" i="76"/>
  <c r="AN66" i="76"/>
  <c r="AJ66" i="76"/>
  <c r="AF66" i="76"/>
  <c r="AP37" i="76"/>
  <c r="AE37" i="76"/>
  <c r="AP25" i="76"/>
  <c r="AE25" i="76"/>
  <c r="AG66" i="76"/>
  <c r="AK48" i="76"/>
  <c r="AG48" i="76"/>
  <c r="AK31" i="76"/>
  <c r="AG31" i="76"/>
  <c r="AK18" i="76"/>
  <c r="AG18" i="76"/>
  <c r="AL48" i="76"/>
  <c r="AD48" i="76"/>
  <c r="AL31" i="76"/>
  <c r="AD31" i="76"/>
  <c r="AL18" i="76"/>
  <c r="AD18" i="76"/>
  <c r="AP66" i="76"/>
  <c r="AH66" i="76"/>
  <c r="AE66" i="76"/>
  <c r="AN48" i="76"/>
  <c r="AJ48" i="76"/>
  <c r="AN31" i="76"/>
  <c r="AJ31" i="76"/>
  <c r="AF31" i="76"/>
  <c r="AN18" i="76"/>
  <c r="AJ18" i="76"/>
  <c r="AF18" i="76"/>
  <c r="AN72" i="76"/>
  <c r="AJ72" i="76"/>
  <c r="AP72" i="76"/>
  <c r="AH72" i="76"/>
  <c r="AE72" i="76"/>
  <c r="AL66" i="76"/>
  <c r="AD66" i="76"/>
  <c r="AK37" i="76"/>
  <c r="AG37" i="76"/>
  <c r="AL37" i="76"/>
  <c r="AD37" i="76"/>
  <c r="AK25" i="76"/>
  <c r="AG25" i="76"/>
  <c r="AL25" i="76"/>
  <c r="AD25" i="76"/>
  <c r="AL72" i="76"/>
  <c r="AD72" i="76"/>
  <c r="AN37" i="76"/>
  <c r="AJ37" i="76"/>
  <c r="AF37" i="76"/>
  <c r="AN25" i="76"/>
  <c r="AJ25" i="76"/>
  <c r="AF25" i="76"/>
  <c r="AQ48" i="1"/>
  <c r="AQ50" i="1" s="1"/>
  <c r="AQ72" i="1"/>
  <c r="AQ74" i="1" s="1"/>
  <c r="AQ81" i="1" s="1"/>
  <c r="AG65" i="1"/>
  <c r="AG72" i="1" s="1"/>
  <c r="AG74" i="1" s="1"/>
  <c r="AG81" i="1" s="1"/>
  <c r="AG48" i="1"/>
  <c r="AG50" i="1" s="1"/>
  <c r="AG53" i="1" s="1"/>
  <c r="AF54" i="76" s="1"/>
  <c r="F88" i="5"/>
  <c r="F89" i="5"/>
  <c r="F90" i="5"/>
  <c r="F91" i="5"/>
  <c r="F92" i="5"/>
  <c r="F93" i="5"/>
  <c r="F94" i="5"/>
  <c r="F15" i="5" s="1"/>
  <c r="F95" i="5"/>
  <c r="F96" i="5"/>
  <c r="F97" i="5"/>
  <c r="F98" i="5"/>
  <c r="F99" i="5"/>
  <c r="F16" i="5" s="1"/>
  <c r="F100" i="5"/>
  <c r="F101" i="5"/>
  <c r="F102" i="5"/>
  <c r="F103" i="5"/>
  <c r="F17" i="5" s="1"/>
  <c r="F104" i="5"/>
  <c r="F105" i="5"/>
  <c r="F106" i="5"/>
  <c r="F107" i="5"/>
  <c r="F22" i="5" s="1"/>
  <c r="F108" i="5"/>
  <c r="F109" i="5"/>
  <c r="F110" i="5"/>
  <c r="F111" i="5"/>
  <c r="F112" i="5"/>
  <c r="F113" i="5"/>
  <c r="F114" i="5"/>
  <c r="F115" i="5"/>
  <c r="F116" i="5"/>
  <c r="F117" i="5"/>
  <c r="F118" i="5"/>
  <c r="F28" i="5" s="1"/>
  <c r="F119" i="5"/>
  <c r="F120" i="5"/>
  <c r="F121" i="5"/>
  <c r="F122" i="5"/>
  <c r="F30" i="5" s="1"/>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34" i="5" s="1"/>
  <c r="F150" i="5"/>
  <c r="F151" i="5"/>
  <c r="F35" i="5" s="1"/>
  <c r="F152" i="5"/>
  <c r="F36" i="5" s="1"/>
  <c r="F153" i="5"/>
  <c r="F154" i="5"/>
  <c r="F155" i="5"/>
  <c r="F156" i="5"/>
  <c r="F157" i="5"/>
  <c r="F158" i="5"/>
  <c r="F159" i="5"/>
  <c r="F160" i="5"/>
  <c r="F161" i="5"/>
  <c r="F162" i="5"/>
  <c r="F163" i="5"/>
  <c r="F39" i="5" s="1"/>
  <c r="F164" i="5"/>
  <c r="F165" i="5"/>
  <c r="F166" i="5"/>
  <c r="F167" i="5"/>
  <c r="F168" i="5"/>
  <c r="F169" i="5"/>
  <c r="F40" i="5" s="1"/>
  <c r="F170" i="5"/>
  <c r="F171" i="5"/>
  <c r="F172" i="5"/>
  <c r="F173" i="5"/>
  <c r="F174" i="5"/>
  <c r="F175" i="5"/>
  <c r="F41" i="5" s="1"/>
  <c r="F176" i="5"/>
  <c r="F177" i="5"/>
  <c r="F178" i="5"/>
  <c r="F179" i="5"/>
  <c r="F180" i="5"/>
  <c r="F181" i="5"/>
  <c r="F182" i="5"/>
  <c r="F183" i="5"/>
  <c r="F184" i="5"/>
  <c r="F185" i="5"/>
  <c r="F186" i="5"/>
  <c r="F187" i="5"/>
  <c r="F188" i="5"/>
  <c r="F189" i="5"/>
  <c r="F44" i="5" s="1"/>
  <c r="F190" i="5"/>
  <c r="F191" i="5"/>
  <c r="F192" i="5"/>
  <c r="F193" i="5"/>
  <c r="F194" i="5"/>
  <c r="F195" i="5"/>
  <c r="F196" i="5"/>
  <c r="F197" i="5"/>
  <c r="F198" i="5"/>
  <c r="F199" i="5"/>
  <c r="F200" i="5"/>
  <c r="F201" i="5"/>
  <c r="F202" i="5"/>
  <c r="F203" i="5"/>
  <c r="F204" i="5"/>
  <c r="F205" i="5"/>
  <c r="F206" i="5"/>
  <c r="F207" i="5"/>
  <c r="F208" i="5"/>
  <c r="F209" i="5"/>
  <c r="F210" i="5"/>
  <c r="F54" i="5" s="1"/>
  <c r="F211" i="5"/>
  <c r="F56" i="5" s="1"/>
  <c r="F212" i="5"/>
  <c r="F57" i="5" s="1"/>
  <c r="F213" i="5"/>
  <c r="F214" i="5"/>
  <c r="F215" i="5"/>
  <c r="F216" i="5"/>
  <c r="F217" i="5"/>
  <c r="F218" i="5"/>
  <c r="F219" i="5"/>
  <c r="F220" i="5"/>
  <c r="F221" i="5"/>
  <c r="F222" i="5"/>
  <c r="F223" i="5"/>
  <c r="F224" i="5"/>
  <c r="F225" i="5"/>
  <c r="F226" i="5"/>
  <c r="F227" i="5"/>
  <c r="F228" i="5"/>
  <c r="A59" i="3" l="1"/>
  <c r="F29" i="5"/>
  <c r="F23" i="5"/>
  <c r="F18" i="5"/>
  <c r="G55" i="69"/>
  <c r="F45" i="5"/>
  <c r="F24" i="5"/>
  <c r="F46" i="5"/>
  <c r="F48" i="5" s="1"/>
  <c r="A58" i="3"/>
  <c r="W73" i="76"/>
  <c r="W75" i="76" s="1"/>
  <c r="W82" i="76" s="1"/>
  <c r="E46" i="3"/>
  <c r="AP73" i="76"/>
  <c r="AP75" i="76" s="1"/>
  <c r="AP82" i="76" s="1"/>
  <c r="AG49" i="76"/>
  <c r="AG51" i="76" s="1"/>
  <c r="AK73" i="76"/>
  <c r="AK75" i="76" s="1"/>
  <c r="AK82" i="76" s="1"/>
  <c r="W49" i="76"/>
  <c r="W51" i="76" s="1"/>
  <c r="G47" i="69"/>
  <c r="E38" i="3"/>
  <c r="G57" i="69"/>
  <c r="E48" i="3"/>
  <c r="AD49" i="76"/>
  <c r="AD51" i="76" s="1"/>
  <c r="AN73" i="76"/>
  <c r="AN75" i="76" s="1"/>
  <c r="AN82" i="76" s="1"/>
  <c r="AG73" i="76"/>
  <c r="AG75" i="76" s="1"/>
  <c r="AG82" i="76" s="1"/>
  <c r="AL54" i="76"/>
  <c r="AE49" i="76"/>
  <c r="AE51" i="76" s="1"/>
  <c r="AK49" i="76"/>
  <c r="AK51" i="76" s="1"/>
  <c r="AH73" i="76"/>
  <c r="AH75" i="76" s="1"/>
  <c r="AH82" i="76" s="1"/>
  <c r="AF73" i="76"/>
  <c r="AF75" i="76" s="1"/>
  <c r="AF82" i="76" s="1"/>
  <c r="AP49" i="76"/>
  <c r="AP51" i="76" s="1"/>
  <c r="AD73" i="76"/>
  <c r="AD75" i="76" s="1"/>
  <c r="AD82" i="76" s="1"/>
  <c r="AF49" i="76"/>
  <c r="AF51" i="76" s="1"/>
  <c r="AH49" i="76"/>
  <c r="AH51" i="76" s="1"/>
  <c r="AL49" i="76"/>
  <c r="AL51" i="76" s="1"/>
  <c r="AJ73" i="76"/>
  <c r="AJ75" i="76" s="1"/>
  <c r="AJ82" i="76" s="1"/>
  <c r="AJ49" i="76"/>
  <c r="AJ51" i="76" s="1"/>
  <c r="AE73" i="76"/>
  <c r="AE75" i="76" s="1"/>
  <c r="AE82" i="76" s="1"/>
  <c r="AN49" i="76"/>
  <c r="AN51" i="76" s="1"/>
  <c r="AL73" i="76"/>
  <c r="AL75" i="76" s="1"/>
  <c r="AL82" i="76" s="1"/>
  <c r="AQ53" i="1"/>
  <c r="AN54" i="76" s="1"/>
  <c r="F25" i="5"/>
  <c r="F31" i="5"/>
  <c r="F37" i="5"/>
  <c r="A60" i="3" l="1"/>
  <c r="F38" i="75"/>
  <c r="G38" i="75" s="1"/>
  <c r="F49" i="5"/>
  <c r="F51" i="5" s="1"/>
  <c r="F59" i="5" s="1"/>
  <c r="A61" i="3" l="1"/>
  <c r="Y8" i="76"/>
  <c r="Y9" i="76"/>
  <c r="Y10" i="76"/>
  <c r="Y12" i="76"/>
  <c r="Y15" i="76"/>
  <c r="Y16" i="76"/>
  <c r="Y17" i="76"/>
  <c r="Y22" i="76"/>
  <c r="Y23" i="76"/>
  <c r="Y24" i="76"/>
  <c r="Y28" i="76"/>
  <c r="Y29" i="76"/>
  <c r="Y30" i="76"/>
  <c r="Y34" i="76"/>
  <c r="Y35" i="76"/>
  <c r="Y36" i="76"/>
  <c r="Y39" i="76"/>
  <c r="Y40" i="76"/>
  <c r="Y41" i="76"/>
  <c r="Y44" i="76"/>
  <c r="Y45" i="76"/>
  <c r="Y46" i="76"/>
  <c r="Y47" i="76"/>
  <c r="Y56" i="76"/>
  <c r="Y57" i="76"/>
  <c r="Y63" i="76"/>
  <c r="Y64" i="76"/>
  <c r="Y65" i="76"/>
  <c r="Y69" i="76"/>
  <c r="Y70" i="76"/>
  <c r="Y71" i="76"/>
  <c r="Y74" i="76"/>
  <c r="Y76" i="76"/>
  <c r="Y77" i="76"/>
  <c r="Y78" i="76"/>
  <c r="Y79" i="76"/>
  <c r="Y25" i="76" l="1"/>
  <c r="Y18" i="76"/>
  <c r="Y48" i="76"/>
  <c r="Y66" i="76"/>
  <c r="Y37" i="76"/>
  <c r="Y31" i="76"/>
  <c r="Y72" i="76"/>
  <c r="Z36" i="1"/>
  <c r="Y36" i="1"/>
  <c r="Y73" i="76" l="1"/>
  <c r="Y75" i="76" s="1"/>
  <c r="Y82" i="76" s="1"/>
  <c r="Y49" i="76"/>
  <c r="Y51" i="76" s="1"/>
  <c r="Z34" i="76" l="1"/>
  <c r="Z39" i="76"/>
  <c r="Z40" i="76"/>
  <c r="Z44" i="76"/>
  <c r="Z41" i="76"/>
  <c r="Q35" i="76" l="1"/>
  <c r="AD43" i="1"/>
  <c r="AD38" i="1"/>
  <c r="AD35" i="1"/>
  <c r="S43" i="1"/>
  <c r="S38" i="1"/>
  <c r="S35" i="1"/>
  <c r="R35" i="1"/>
  <c r="M17" i="1"/>
  <c r="M24" i="1"/>
  <c r="M30" i="1"/>
  <c r="M36" i="1"/>
  <c r="M47" i="1"/>
  <c r="M65" i="1"/>
  <c r="M71" i="1"/>
  <c r="M48" i="1" l="1"/>
  <c r="M50" i="1" s="1"/>
  <c r="M53" i="1" s="1"/>
  <c r="M72" i="1"/>
  <c r="M74" i="1" s="1"/>
  <c r="M81" i="1" s="1"/>
  <c r="B46" i="69"/>
  <c r="B45" i="69"/>
  <c r="B29" i="69"/>
  <c r="C37" i="3"/>
  <c r="B37" i="75" s="1"/>
  <c r="C36" i="3"/>
  <c r="B36" i="75" s="1"/>
  <c r="B37" i="3"/>
  <c r="B36" i="3"/>
  <c r="C35" i="3"/>
  <c r="B35" i="75" s="1"/>
  <c r="B35" i="3"/>
  <c r="C22" i="3"/>
  <c r="B25" i="75" s="1"/>
  <c r="B22" i="3"/>
  <c r="S8" i="76"/>
  <c r="S9" i="76"/>
  <c r="S10" i="76"/>
  <c r="S12" i="76"/>
  <c r="S15" i="76"/>
  <c r="S16" i="76"/>
  <c r="S17" i="76"/>
  <c r="S22" i="76"/>
  <c r="S23" i="76"/>
  <c r="S24" i="76"/>
  <c r="S28" i="76"/>
  <c r="S29" i="76"/>
  <c r="S30" i="76"/>
  <c r="S34" i="76"/>
  <c r="S35" i="76"/>
  <c r="S36" i="76"/>
  <c r="S39" i="76"/>
  <c r="S40" i="76"/>
  <c r="S41" i="76"/>
  <c r="S44" i="76"/>
  <c r="S45" i="76"/>
  <c r="S46" i="76"/>
  <c r="S47" i="76"/>
  <c r="S56" i="76"/>
  <c r="S57" i="76"/>
  <c r="S63" i="76"/>
  <c r="S64" i="76"/>
  <c r="S65" i="76"/>
  <c r="S69" i="76"/>
  <c r="S70" i="76"/>
  <c r="S71" i="76"/>
  <c r="S74" i="76"/>
  <c r="S76" i="76"/>
  <c r="S77" i="76"/>
  <c r="S78" i="76"/>
  <c r="S79" i="76"/>
  <c r="AE71" i="1"/>
  <c r="AE65" i="1"/>
  <c r="AE47" i="1"/>
  <c r="AE36" i="1"/>
  <c r="AE30" i="1"/>
  <c r="AE24" i="1"/>
  <c r="AE17" i="1"/>
  <c r="AE72" i="1" l="1"/>
  <c r="AE74" i="1" s="1"/>
  <c r="AE81" i="1" s="1"/>
  <c r="G45" i="69" s="1"/>
  <c r="AE48" i="1"/>
  <c r="AE50" i="1" s="1"/>
  <c r="S18" i="76"/>
  <c r="S48" i="76"/>
  <c r="S37" i="76"/>
  <c r="S66" i="76"/>
  <c r="S72" i="76"/>
  <c r="S25" i="76"/>
  <c r="S31" i="76"/>
  <c r="S71" i="1"/>
  <c r="S65" i="1"/>
  <c r="S47" i="1"/>
  <c r="S36" i="1"/>
  <c r="S30" i="1"/>
  <c r="S24" i="1"/>
  <c r="S17" i="1"/>
  <c r="E36" i="3" l="1"/>
  <c r="F36" i="75" s="1"/>
  <c r="G36" i="75" s="1"/>
  <c r="S72" i="1"/>
  <c r="S74" i="1" s="1"/>
  <c r="S81" i="1" s="1"/>
  <c r="S73" i="76"/>
  <c r="S75" i="76" s="1"/>
  <c r="S82" i="76" s="1"/>
  <c r="S49" i="76"/>
  <c r="S51" i="76" s="1"/>
  <c r="AE53" i="1"/>
  <c r="AD54" i="76" s="1"/>
  <c r="S48" i="1"/>
  <c r="S50" i="1" s="1"/>
  <c r="E22" i="3" l="1"/>
  <c r="F25" i="75" s="1"/>
  <c r="G25" i="75" s="1"/>
  <c r="G29" i="69"/>
  <c r="S53" i="1"/>
  <c r="S54" i="76" s="1"/>
  <c r="A3" i="54"/>
  <c r="B44" i="69" l="1"/>
  <c r="AC10" i="76"/>
  <c r="AC8" i="76"/>
  <c r="AC9" i="76"/>
  <c r="AC12" i="76"/>
  <c r="AC15" i="76"/>
  <c r="AC16" i="76"/>
  <c r="AC17" i="76"/>
  <c r="AC22" i="76"/>
  <c r="AC23" i="76"/>
  <c r="AC24" i="76"/>
  <c r="AC28" i="76"/>
  <c r="AC29" i="76"/>
  <c r="AC30" i="76"/>
  <c r="AC34" i="76"/>
  <c r="AC35" i="76"/>
  <c r="AC36" i="76"/>
  <c r="AC39" i="76"/>
  <c r="AC40" i="76"/>
  <c r="AC41" i="76"/>
  <c r="AC44" i="76"/>
  <c r="AC45" i="76"/>
  <c r="AC46" i="76"/>
  <c r="AC47" i="76"/>
  <c r="AC56" i="76"/>
  <c r="AC57" i="76"/>
  <c r="AC63" i="76"/>
  <c r="AC64" i="76"/>
  <c r="AC65" i="76"/>
  <c r="AC69" i="76"/>
  <c r="AC70" i="76"/>
  <c r="AC71" i="76"/>
  <c r="AC74" i="76"/>
  <c r="AC76" i="76"/>
  <c r="AC77" i="76"/>
  <c r="AC78" i="76"/>
  <c r="AC79" i="76"/>
  <c r="AD71" i="1"/>
  <c r="AD65" i="1"/>
  <c r="AD47" i="1"/>
  <c r="AD36" i="1"/>
  <c r="AD30" i="1"/>
  <c r="AD24" i="1"/>
  <c r="AD17" i="1"/>
  <c r="AD72" i="1" l="1"/>
  <c r="AD74" i="1" s="1"/>
  <c r="AD81" i="1" s="1"/>
  <c r="E35" i="3" s="1"/>
  <c r="F35" i="75" s="1"/>
  <c r="G35" i="75" s="1"/>
  <c r="AC25" i="76"/>
  <c r="AC18" i="76"/>
  <c r="AC31" i="76"/>
  <c r="AC72" i="76"/>
  <c r="AC37" i="76"/>
  <c r="AC66" i="76"/>
  <c r="AC48" i="76"/>
  <c r="AD48" i="1"/>
  <c r="AD50" i="1" s="1"/>
  <c r="AD53" i="1" l="1"/>
  <c r="AC54" i="76" s="1"/>
  <c r="G44" i="69"/>
  <c r="AC73" i="76"/>
  <c r="AC75" i="76" s="1"/>
  <c r="AC82" i="76" s="1"/>
  <c r="AC49" i="76"/>
  <c r="AC51" i="76" s="1"/>
  <c r="B43" i="69"/>
  <c r="C34" i="3"/>
  <c r="B34" i="75" s="1"/>
  <c r="B34" i="3"/>
  <c r="G8" i="76" l="1"/>
  <c r="H8" i="76"/>
  <c r="I8" i="76"/>
  <c r="J8" i="76"/>
  <c r="K8" i="76"/>
  <c r="L8" i="76"/>
  <c r="M8" i="76"/>
  <c r="N8" i="76"/>
  <c r="O8" i="76"/>
  <c r="P8" i="76"/>
  <c r="Q8" i="76"/>
  <c r="R8" i="76"/>
  <c r="T8" i="76"/>
  <c r="V8" i="76"/>
  <c r="U8" i="76"/>
  <c r="X8" i="76"/>
  <c r="Z8" i="76"/>
  <c r="AB8" i="76"/>
  <c r="AA8" i="76"/>
  <c r="G9" i="76"/>
  <c r="H9" i="76"/>
  <c r="I9" i="76"/>
  <c r="J9" i="76"/>
  <c r="K9" i="76"/>
  <c r="L9" i="76"/>
  <c r="M9" i="76"/>
  <c r="N9" i="76"/>
  <c r="O9" i="76"/>
  <c r="P9" i="76"/>
  <c r="Q9" i="76"/>
  <c r="R9" i="76"/>
  <c r="T9" i="76"/>
  <c r="V9" i="76"/>
  <c r="U9" i="76"/>
  <c r="X9" i="76"/>
  <c r="Z9" i="76"/>
  <c r="AB9" i="76"/>
  <c r="AA9" i="76"/>
  <c r="G10" i="76"/>
  <c r="I10" i="76"/>
  <c r="J10" i="76"/>
  <c r="M10" i="76"/>
  <c r="N10" i="76"/>
  <c r="O10" i="76"/>
  <c r="P10" i="76"/>
  <c r="R10" i="76"/>
  <c r="T10" i="76"/>
  <c r="V10" i="76"/>
  <c r="U10" i="76"/>
  <c r="X10" i="76"/>
  <c r="Z10" i="76"/>
  <c r="AB10" i="76"/>
  <c r="AA10" i="76"/>
  <c r="I11" i="76"/>
  <c r="X11" i="76"/>
  <c r="G12" i="76"/>
  <c r="H12" i="76"/>
  <c r="I12" i="76"/>
  <c r="J12" i="76"/>
  <c r="K12" i="76"/>
  <c r="L12" i="76"/>
  <c r="M12" i="76"/>
  <c r="N12" i="76"/>
  <c r="O12" i="76"/>
  <c r="P12" i="76"/>
  <c r="Q12" i="76"/>
  <c r="R12" i="76"/>
  <c r="T12" i="76"/>
  <c r="V12" i="76"/>
  <c r="U12" i="76"/>
  <c r="X12" i="76"/>
  <c r="Z12" i="76"/>
  <c r="AB12" i="76"/>
  <c r="AA12" i="76"/>
  <c r="G15" i="76"/>
  <c r="H15" i="76"/>
  <c r="I15" i="76"/>
  <c r="J15" i="76"/>
  <c r="K15" i="76"/>
  <c r="L15" i="76"/>
  <c r="M15" i="76"/>
  <c r="N15" i="76"/>
  <c r="O15" i="76"/>
  <c r="P15" i="76"/>
  <c r="Q15" i="76"/>
  <c r="R15" i="76"/>
  <c r="T15" i="76"/>
  <c r="V15" i="76"/>
  <c r="U15" i="76"/>
  <c r="X15" i="76"/>
  <c r="Z15" i="76"/>
  <c r="AB15" i="76"/>
  <c r="AA15" i="76"/>
  <c r="G16" i="76"/>
  <c r="H16" i="76"/>
  <c r="I16" i="76"/>
  <c r="J16" i="76"/>
  <c r="K16" i="76"/>
  <c r="L16" i="76"/>
  <c r="M16" i="76"/>
  <c r="N16" i="76"/>
  <c r="O16" i="76"/>
  <c r="P16" i="76"/>
  <c r="Q16" i="76"/>
  <c r="R16" i="76"/>
  <c r="T16" i="76"/>
  <c r="V16" i="76"/>
  <c r="U16" i="76"/>
  <c r="X16" i="76"/>
  <c r="Z16" i="76"/>
  <c r="AB16" i="76"/>
  <c r="AA16" i="76"/>
  <c r="G17" i="76"/>
  <c r="H17" i="76"/>
  <c r="I17" i="76"/>
  <c r="J17" i="76"/>
  <c r="K17" i="76"/>
  <c r="L17" i="76"/>
  <c r="M17" i="76"/>
  <c r="N17" i="76"/>
  <c r="O17" i="76"/>
  <c r="P17" i="76"/>
  <c r="Q17" i="76"/>
  <c r="R17" i="76"/>
  <c r="T17" i="76"/>
  <c r="V17" i="76"/>
  <c r="U17" i="76"/>
  <c r="X17" i="76"/>
  <c r="Z17" i="76"/>
  <c r="AB17" i="76"/>
  <c r="AA17" i="76"/>
  <c r="G22" i="76"/>
  <c r="H22" i="76"/>
  <c r="I22" i="76"/>
  <c r="J22" i="76"/>
  <c r="K22" i="76"/>
  <c r="L22" i="76"/>
  <c r="M22" i="76"/>
  <c r="N22" i="76"/>
  <c r="O22" i="76"/>
  <c r="P22" i="76"/>
  <c r="Q22" i="76"/>
  <c r="R22" i="76"/>
  <c r="T22" i="76"/>
  <c r="V22" i="76"/>
  <c r="U22" i="76"/>
  <c r="X22" i="76"/>
  <c r="Z22" i="76"/>
  <c r="AB22" i="76"/>
  <c r="AA22" i="76"/>
  <c r="G23" i="76"/>
  <c r="H23" i="76"/>
  <c r="I23" i="76"/>
  <c r="J23" i="76"/>
  <c r="K23" i="76"/>
  <c r="L23" i="76"/>
  <c r="M23" i="76"/>
  <c r="N23" i="76"/>
  <c r="O23" i="76"/>
  <c r="P23" i="76"/>
  <c r="Q23" i="76"/>
  <c r="R23" i="76"/>
  <c r="T23" i="76"/>
  <c r="V23" i="76"/>
  <c r="U23" i="76"/>
  <c r="Z23" i="76"/>
  <c r="AB23" i="76"/>
  <c r="AA23" i="76"/>
  <c r="G24" i="76"/>
  <c r="H24" i="76"/>
  <c r="I24" i="76"/>
  <c r="J24" i="76"/>
  <c r="K24" i="76"/>
  <c r="L24" i="76"/>
  <c r="M24" i="76"/>
  <c r="N24" i="76"/>
  <c r="O24" i="76"/>
  <c r="P24" i="76"/>
  <c r="Q24" i="76"/>
  <c r="R24" i="76"/>
  <c r="T24" i="76"/>
  <c r="V24" i="76"/>
  <c r="U24" i="76"/>
  <c r="X24" i="76"/>
  <c r="Z24" i="76"/>
  <c r="AB24" i="76"/>
  <c r="AA24" i="76"/>
  <c r="G28" i="76"/>
  <c r="H28" i="76"/>
  <c r="I28" i="76"/>
  <c r="J28" i="76"/>
  <c r="K28" i="76"/>
  <c r="L28" i="76"/>
  <c r="M28" i="76"/>
  <c r="N28" i="76"/>
  <c r="O28" i="76"/>
  <c r="P28" i="76"/>
  <c r="Q28" i="76"/>
  <c r="R28" i="76"/>
  <c r="T28" i="76"/>
  <c r="V28" i="76"/>
  <c r="U28" i="76"/>
  <c r="Z28" i="76"/>
  <c r="AB28" i="76"/>
  <c r="AA28" i="76"/>
  <c r="G29" i="76"/>
  <c r="H29" i="76"/>
  <c r="I29" i="76"/>
  <c r="J29" i="76"/>
  <c r="K29" i="76"/>
  <c r="L29" i="76"/>
  <c r="M29" i="76"/>
  <c r="N29" i="76"/>
  <c r="O29" i="76"/>
  <c r="P29" i="76"/>
  <c r="Q29" i="76"/>
  <c r="R29" i="76"/>
  <c r="T29" i="76"/>
  <c r="V29" i="76"/>
  <c r="U29" i="76"/>
  <c r="X29" i="76"/>
  <c r="Z29" i="76"/>
  <c r="AB29" i="76"/>
  <c r="AA29" i="76"/>
  <c r="G30" i="76"/>
  <c r="H30" i="76"/>
  <c r="I30" i="76"/>
  <c r="J30" i="76"/>
  <c r="K30" i="76"/>
  <c r="L30" i="76"/>
  <c r="M30" i="76"/>
  <c r="N30" i="76"/>
  <c r="O30" i="76"/>
  <c r="P30" i="76"/>
  <c r="Q30" i="76"/>
  <c r="R30" i="76"/>
  <c r="T30" i="76"/>
  <c r="V30" i="76"/>
  <c r="U30" i="76"/>
  <c r="X30" i="76"/>
  <c r="Z30" i="76"/>
  <c r="AB30" i="76"/>
  <c r="AA30" i="76"/>
  <c r="G34" i="76"/>
  <c r="H34" i="76"/>
  <c r="I34" i="76"/>
  <c r="J34" i="76"/>
  <c r="K34" i="76"/>
  <c r="L34" i="76"/>
  <c r="M34" i="76"/>
  <c r="N34" i="76"/>
  <c r="O34" i="76"/>
  <c r="P34" i="76"/>
  <c r="Q34" i="76"/>
  <c r="R34" i="76"/>
  <c r="T34" i="76"/>
  <c r="V34" i="76"/>
  <c r="U34" i="76"/>
  <c r="AB34" i="76"/>
  <c r="AA34" i="76"/>
  <c r="G35" i="76"/>
  <c r="H35" i="76"/>
  <c r="I35" i="76"/>
  <c r="J35" i="76"/>
  <c r="K35" i="76"/>
  <c r="L35" i="76"/>
  <c r="M35" i="76"/>
  <c r="N35" i="76"/>
  <c r="O35" i="76"/>
  <c r="P35" i="76"/>
  <c r="R35" i="76"/>
  <c r="T35" i="76"/>
  <c r="V35" i="76"/>
  <c r="U35" i="76"/>
  <c r="X35" i="76"/>
  <c r="Z35" i="76"/>
  <c r="AB35" i="76"/>
  <c r="AA35" i="76"/>
  <c r="G36" i="76"/>
  <c r="H36" i="76"/>
  <c r="I36" i="76"/>
  <c r="J36" i="76"/>
  <c r="K36" i="76"/>
  <c r="L36" i="76"/>
  <c r="M36" i="76"/>
  <c r="N36" i="76"/>
  <c r="O36" i="76"/>
  <c r="P36" i="76"/>
  <c r="Q36" i="76"/>
  <c r="R36" i="76"/>
  <c r="T36" i="76"/>
  <c r="V36" i="76"/>
  <c r="U36" i="76"/>
  <c r="X36" i="76"/>
  <c r="Z36" i="76"/>
  <c r="AB36" i="76"/>
  <c r="AA36" i="76"/>
  <c r="G39" i="76"/>
  <c r="H39" i="76"/>
  <c r="I39" i="76"/>
  <c r="J39" i="76"/>
  <c r="K39" i="76"/>
  <c r="L39" i="76"/>
  <c r="M39" i="76"/>
  <c r="N39" i="76"/>
  <c r="O39" i="76"/>
  <c r="P39" i="76"/>
  <c r="Q39" i="76"/>
  <c r="R39" i="76"/>
  <c r="T39" i="76"/>
  <c r="V39" i="76"/>
  <c r="U39" i="76"/>
  <c r="AB39" i="76"/>
  <c r="AA39" i="76"/>
  <c r="G40" i="76"/>
  <c r="H40" i="76"/>
  <c r="I40" i="76"/>
  <c r="J40" i="76"/>
  <c r="K40" i="76"/>
  <c r="L40" i="76"/>
  <c r="M40" i="76"/>
  <c r="N40" i="76"/>
  <c r="O40" i="76"/>
  <c r="P40" i="76"/>
  <c r="Q40" i="76"/>
  <c r="R40" i="76"/>
  <c r="T40" i="76"/>
  <c r="V40" i="76"/>
  <c r="U40" i="76"/>
  <c r="AB40" i="76"/>
  <c r="AA40" i="76"/>
  <c r="G41" i="76"/>
  <c r="H41" i="76"/>
  <c r="I41" i="76"/>
  <c r="J41" i="76"/>
  <c r="K41" i="76"/>
  <c r="L41" i="76"/>
  <c r="M41" i="76"/>
  <c r="N41" i="76"/>
  <c r="O41" i="76"/>
  <c r="P41" i="76"/>
  <c r="Q41" i="76"/>
  <c r="R41" i="76"/>
  <c r="T41" i="76"/>
  <c r="V41" i="76"/>
  <c r="U41" i="76"/>
  <c r="AB41" i="76"/>
  <c r="AA41" i="76"/>
  <c r="G44" i="76"/>
  <c r="H44" i="76"/>
  <c r="I44" i="76"/>
  <c r="J44" i="76"/>
  <c r="K44" i="76"/>
  <c r="L44" i="76"/>
  <c r="M44" i="76"/>
  <c r="N44" i="76"/>
  <c r="O44" i="76"/>
  <c r="P44" i="76"/>
  <c r="Q44" i="76"/>
  <c r="R44" i="76"/>
  <c r="T44" i="76"/>
  <c r="V44" i="76"/>
  <c r="U44" i="76"/>
  <c r="AB44" i="76"/>
  <c r="AA44" i="76"/>
  <c r="G45" i="76"/>
  <c r="H45" i="76"/>
  <c r="I45" i="76"/>
  <c r="J45" i="76"/>
  <c r="K45" i="76"/>
  <c r="L45" i="76"/>
  <c r="M45" i="76"/>
  <c r="N45" i="76"/>
  <c r="O45" i="76"/>
  <c r="P45" i="76"/>
  <c r="Q45" i="76"/>
  <c r="R45" i="76"/>
  <c r="T45" i="76"/>
  <c r="V45" i="76"/>
  <c r="U45" i="76"/>
  <c r="X45" i="76"/>
  <c r="Z45" i="76"/>
  <c r="AB45" i="76"/>
  <c r="AA45" i="76"/>
  <c r="G46" i="76"/>
  <c r="H46" i="76"/>
  <c r="I46" i="76"/>
  <c r="J46" i="76"/>
  <c r="K46" i="76"/>
  <c r="L46" i="76"/>
  <c r="M46" i="76"/>
  <c r="N46" i="76"/>
  <c r="O46" i="76"/>
  <c r="P46" i="76"/>
  <c r="Q46" i="76"/>
  <c r="R46" i="76"/>
  <c r="T46" i="76"/>
  <c r="V46" i="76"/>
  <c r="U46" i="76"/>
  <c r="X46" i="76"/>
  <c r="Z46" i="76"/>
  <c r="AB46" i="76"/>
  <c r="AA46" i="76"/>
  <c r="G47" i="76"/>
  <c r="H47" i="76"/>
  <c r="I47" i="76"/>
  <c r="J47" i="76"/>
  <c r="K47" i="76"/>
  <c r="L47" i="76"/>
  <c r="M47" i="76"/>
  <c r="N47" i="76"/>
  <c r="O47" i="76"/>
  <c r="P47" i="76"/>
  <c r="Q47" i="76"/>
  <c r="R47" i="76"/>
  <c r="T47" i="76"/>
  <c r="V47" i="76"/>
  <c r="U47" i="76"/>
  <c r="X47" i="76"/>
  <c r="Z47" i="76"/>
  <c r="AB47" i="76"/>
  <c r="AA47" i="76"/>
  <c r="N54" i="76"/>
  <c r="N55" i="76"/>
  <c r="U55" i="76"/>
  <c r="G56" i="76"/>
  <c r="H56" i="76"/>
  <c r="I56" i="76"/>
  <c r="J56" i="76"/>
  <c r="K56" i="76"/>
  <c r="L56" i="76"/>
  <c r="M56" i="76"/>
  <c r="N56" i="76"/>
  <c r="O56" i="76"/>
  <c r="P56" i="76"/>
  <c r="Q56" i="76"/>
  <c r="R56" i="76"/>
  <c r="T56" i="76"/>
  <c r="V56" i="76"/>
  <c r="U56" i="76"/>
  <c r="X56" i="76"/>
  <c r="Z56" i="76"/>
  <c r="AB56" i="76"/>
  <c r="AA56" i="76"/>
  <c r="G57" i="76"/>
  <c r="H57" i="76"/>
  <c r="I57" i="76"/>
  <c r="J57" i="76"/>
  <c r="K57" i="76"/>
  <c r="L57" i="76"/>
  <c r="M57" i="76"/>
  <c r="N57" i="76"/>
  <c r="O57" i="76"/>
  <c r="P57" i="76"/>
  <c r="Q57" i="76"/>
  <c r="R57" i="76"/>
  <c r="T57" i="76"/>
  <c r="V57" i="76"/>
  <c r="U57" i="76"/>
  <c r="X57" i="76"/>
  <c r="Z57" i="76"/>
  <c r="AB57" i="76"/>
  <c r="AA57" i="76"/>
  <c r="G63" i="76"/>
  <c r="H63" i="76"/>
  <c r="I63" i="76"/>
  <c r="J63" i="76"/>
  <c r="K63" i="76"/>
  <c r="L63" i="76"/>
  <c r="M63" i="76"/>
  <c r="N63" i="76"/>
  <c r="O63" i="76"/>
  <c r="P63" i="76"/>
  <c r="Q63" i="76"/>
  <c r="R63" i="76"/>
  <c r="T63" i="76"/>
  <c r="V63" i="76"/>
  <c r="U63" i="76"/>
  <c r="X63" i="76"/>
  <c r="Z63" i="76"/>
  <c r="AB63" i="76"/>
  <c r="AA63" i="76"/>
  <c r="G64" i="76"/>
  <c r="H64" i="76"/>
  <c r="I64" i="76"/>
  <c r="J64" i="76"/>
  <c r="K64" i="76"/>
  <c r="L64" i="76"/>
  <c r="M64" i="76"/>
  <c r="N64" i="76"/>
  <c r="O64" i="76"/>
  <c r="P64" i="76"/>
  <c r="Q64" i="76"/>
  <c r="R64" i="76"/>
  <c r="T64" i="76"/>
  <c r="V64" i="76"/>
  <c r="U64" i="76"/>
  <c r="X64" i="76"/>
  <c r="Z64" i="76"/>
  <c r="AB64" i="76"/>
  <c r="AA64" i="76"/>
  <c r="G65" i="76"/>
  <c r="H65" i="76"/>
  <c r="I65" i="76"/>
  <c r="J65" i="76"/>
  <c r="K65" i="76"/>
  <c r="L65" i="76"/>
  <c r="M65" i="76"/>
  <c r="N65" i="76"/>
  <c r="O65" i="76"/>
  <c r="P65" i="76"/>
  <c r="Q65" i="76"/>
  <c r="R65" i="76"/>
  <c r="T65" i="76"/>
  <c r="V65" i="76"/>
  <c r="U65" i="76"/>
  <c r="X65" i="76"/>
  <c r="Z65" i="76"/>
  <c r="AB65" i="76"/>
  <c r="AA65" i="76"/>
  <c r="G69" i="76"/>
  <c r="H69" i="76"/>
  <c r="I69" i="76"/>
  <c r="J69" i="76"/>
  <c r="K69" i="76"/>
  <c r="L69" i="76"/>
  <c r="M69" i="76"/>
  <c r="N69" i="76"/>
  <c r="O69" i="76"/>
  <c r="P69" i="76"/>
  <c r="Q69" i="76"/>
  <c r="R69" i="76"/>
  <c r="T69" i="76"/>
  <c r="V69" i="76"/>
  <c r="U69" i="76"/>
  <c r="X69" i="76"/>
  <c r="Z69" i="76"/>
  <c r="AB69" i="76"/>
  <c r="AA69" i="76"/>
  <c r="G70" i="76"/>
  <c r="H70" i="76"/>
  <c r="I70" i="76"/>
  <c r="J70" i="76"/>
  <c r="K70" i="76"/>
  <c r="L70" i="76"/>
  <c r="M70" i="76"/>
  <c r="N70" i="76"/>
  <c r="O70" i="76"/>
  <c r="P70" i="76"/>
  <c r="Q70" i="76"/>
  <c r="R70" i="76"/>
  <c r="T70" i="76"/>
  <c r="V70" i="76"/>
  <c r="U70" i="76"/>
  <c r="X70" i="76"/>
  <c r="Z70" i="76"/>
  <c r="AB70" i="76"/>
  <c r="AA70" i="76"/>
  <c r="G71" i="76"/>
  <c r="H71" i="76"/>
  <c r="I71" i="76"/>
  <c r="J71" i="76"/>
  <c r="K71" i="76"/>
  <c r="L71" i="76"/>
  <c r="M71" i="76"/>
  <c r="N71" i="76"/>
  <c r="O71" i="76"/>
  <c r="P71" i="76"/>
  <c r="Q71" i="76"/>
  <c r="R71" i="76"/>
  <c r="T71" i="76"/>
  <c r="V71" i="76"/>
  <c r="U71" i="76"/>
  <c r="X71" i="76"/>
  <c r="Z71" i="76"/>
  <c r="AB71" i="76"/>
  <c r="AA71" i="76"/>
  <c r="G74" i="76"/>
  <c r="H74" i="76"/>
  <c r="I74" i="76"/>
  <c r="J74" i="76"/>
  <c r="K74" i="76"/>
  <c r="L74" i="76"/>
  <c r="M74" i="76"/>
  <c r="N74" i="76"/>
  <c r="O74" i="76"/>
  <c r="P74" i="76"/>
  <c r="Q74" i="76"/>
  <c r="R74" i="76"/>
  <c r="T74" i="76"/>
  <c r="V74" i="76"/>
  <c r="U74" i="76"/>
  <c r="X74" i="76"/>
  <c r="Z74" i="76"/>
  <c r="AB74" i="76"/>
  <c r="AA74" i="76"/>
  <c r="G76" i="76"/>
  <c r="H76" i="76"/>
  <c r="I76" i="76"/>
  <c r="J76" i="76"/>
  <c r="K76" i="76"/>
  <c r="L76" i="76"/>
  <c r="M76" i="76"/>
  <c r="N76" i="76"/>
  <c r="O76" i="76"/>
  <c r="P76" i="76"/>
  <c r="Q76" i="76"/>
  <c r="R76" i="76"/>
  <c r="T76" i="76"/>
  <c r="V76" i="76"/>
  <c r="U76" i="76"/>
  <c r="X76" i="76"/>
  <c r="Z76" i="76"/>
  <c r="AB76" i="76"/>
  <c r="AA76" i="76"/>
  <c r="G77" i="76"/>
  <c r="H77" i="76"/>
  <c r="I77" i="76"/>
  <c r="J77" i="76"/>
  <c r="K77" i="76"/>
  <c r="L77" i="76"/>
  <c r="M77" i="76"/>
  <c r="N77" i="76"/>
  <c r="O77" i="76"/>
  <c r="P77" i="76"/>
  <c r="Q77" i="76"/>
  <c r="R77" i="76"/>
  <c r="T77" i="76"/>
  <c r="V77" i="76"/>
  <c r="U77" i="76"/>
  <c r="X77" i="76"/>
  <c r="Z77" i="76"/>
  <c r="AB77" i="76"/>
  <c r="AA77" i="76"/>
  <c r="G78" i="76"/>
  <c r="H78" i="76"/>
  <c r="I78" i="76"/>
  <c r="J78" i="76"/>
  <c r="K78" i="76"/>
  <c r="L78" i="76"/>
  <c r="M78" i="76"/>
  <c r="N78" i="76"/>
  <c r="O78" i="76"/>
  <c r="P78" i="76"/>
  <c r="Q78" i="76"/>
  <c r="R78" i="76"/>
  <c r="T78" i="76"/>
  <c r="V78" i="76"/>
  <c r="U78" i="76"/>
  <c r="X78" i="76"/>
  <c r="Z78" i="76"/>
  <c r="AB78" i="76"/>
  <c r="AA78" i="76"/>
  <c r="G79" i="76"/>
  <c r="H79" i="76"/>
  <c r="I79" i="76"/>
  <c r="J79" i="76"/>
  <c r="K79" i="76"/>
  <c r="L79" i="76"/>
  <c r="M79" i="76"/>
  <c r="N79" i="76"/>
  <c r="O79" i="76"/>
  <c r="P79" i="76"/>
  <c r="Q79" i="76"/>
  <c r="R79" i="76"/>
  <c r="T79" i="76"/>
  <c r="V79" i="76"/>
  <c r="U79" i="76"/>
  <c r="X79" i="76"/>
  <c r="Z79" i="76"/>
  <c r="AB79" i="76"/>
  <c r="AA79" i="76"/>
  <c r="G66" i="76" l="1"/>
  <c r="AA18" i="76"/>
  <c r="T18" i="76"/>
  <c r="O18" i="76"/>
  <c r="I18" i="76"/>
  <c r="X72" i="76"/>
  <c r="J72" i="76"/>
  <c r="N66" i="76"/>
  <c r="G18" i="76"/>
  <c r="H18" i="76"/>
  <c r="AB72" i="76"/>
  <c r="R72" i="76"/>
  <c r="N72" i="76"/>
  <c r="R66" i="76"/>
  <c r="J66" i="76"/>
  <c r="U72" i="76"/>
  <c r="U66" i="76"/>
  <c r="AB31" i="76"/>
  <c r="AB18" i="76"/>
  <c r="L18" i="76"/>
  <c r="AA31" i="76"/>
  <c r="AB37" i="76"/>
  <c r="T31" i="76"/>
  <c r="H48" i="76"/>
  <c r="U48" i="76"/>
  <c r="R48" i="76"/>
  <c r="N48" i="76"/>
  <c r="J48" i="76"/>
  <c r="K72" i="76"/>
  <c r="G72" i="76"/>
  <c r="AB66" i="76"/>
  <c r="X66" i="76"/>
  <c r="H25" i="76"/>
  <c r="AA72" i="76"/>
  <c r="U31" i="76"/>
  <c r="K18" i="76"/>
  <c r="T25" i="76"/>
  <c r="G31" i="76"/>
  <c r="Q31" i="76"/>
  <c r="I31" i="76"/>
  <c r="H31" i="76"/>
  <c r="K48" i="76"/>
  <c r="G48" i="76"/>
  <c r="Z37" i="76"/>
  <c r="V37" i="76"/>
  <c r="M37" i="76"/>
  <c r="I37" i="76"/>
  <c r="H37" i="76"/>
  <c r="I25" i="76"/>
  <c r="L48" i="76"/>
  <c r="I48" i="76"/>
  <c r="O37" i="76"/>
  <c r="G37" i="76"/>
  <c r="AA37" i="76"/>
  <c r="Q37" i="76"/>
  <c r="V31" i="76"/>
  <c r="M31" i="76"/>
  <c r="Z18" i="76"/>
  <c r="O48" i="76"/>
  <c r="T48" i="76"/>
  <c r="P37" i="76"/>
  <c r="L37" i="76"/>
  <c r="P31" i="76"/>
  <c r="L31" i="76"/>
  <c r="Q25" i="76"/>
  <c r="O25" i="76"/>
  <c r="G25" i="76"/>
  <c r="P48" i="76"/>
  <c r="K31" i="76"/>
  <c r="V18" i="76"/>
  <c r="Q18" i="76"/>
  <c r="M18" i="76"/>
  <c r="AA66" i="76"/>
  <c r="Q48" i="76"/>
  <c r="U37" i="76"/>
  <c r="R37" i="76"/>
  <c r="N37" i="76"/>
  <c r="J37" i="76"/>
  <c r="L25" i="76"/>
  <c r="AA25" i="76"/>
  <c r="V25" i="76"/>
  <c r="M25" i="76"/>
  <c r="T37" i="76"/>
  <c r="P25" i="76"/>
  <c r="V48" i="76"/>
  <c r="O31" i="76"/>
  <c r="K37" i="76"/>
  <c r="K25" i="76"/>
  <c r="P18" i="76"/>
  <c r="O66" i="76"/>
  <c r="K66" i="76"/>
  <c r="Z48" i="76"/>
  <c r="Z31" i="76"/>
  <c r="Z25" i="76"/>
  <c r="AA48" i="76"/>
  <c r="O72" i="76"/>
  <c r="M48" i="76"/>
  <c r="V72" i="76"/>
  <c r="Q72" i="76"/>
  <c r="M72" i="76"/>
  <c r="I72" i="76"/>
  <c r="V66" i="76"/>
  <c r="Q66" i="76"/>
  <c r="M66" i="76"/>
  <c r="I66" i="76"/>
  <c r="Z72" i="76"/>
  <c r="T66" i="76"/>
  <c r="P66" i="76"/>
  <c r="L66" i="76"/>
  <c r="H66" i="76"/>
  <c r="AB48" i="76"/>
  <c r="U25" i="76"/>
  <c r="R25" i="76"/>
  <c r="N25" i="76"/>
  <c r="J25" i="76"/>
  <c r="U18" i="76"/>
  <c r="R18" i="76"/>
  <c r="N18" i="76"/>
  <c r="J18" i="76"/>
  <c r="T72" i="76"/>
  <c r="P72" i="76"/>
  <c r="L72" i="76"/>
  <c r="H72" i="76"/>
  <c r="Z66" i="76"/>
  <c r="AB25" i="76"/>
  <c r="R31" i="76"/>
  <c r="N31" i="76"/>
  <c r="J31" i="76"/>
  <c r="X18" i="76"/>
  <c r="J73" i="76" l="1"/>
  <c r="J75" i="76" s="1"/>
  <c r="J82" i="76" s="1"/>
  <c r="AB73" i="76"/>
  <c r="AB75" i="76" s="1"/>
  <c r="AB82" i="76" s="1"/>
  <c r="U73" i="76"/>
  <c r="U75" i="76" s="1"/>
  <c r="U82" i="76" s="1"/>
  <c r="G73" i="76"/>
  <c r="G75" i="76" s="1"/>
  <c r="G82" i="76" s="1"/>
  <c r="N73" i="76"/>
  <c r="N75" i="76" s="1"/>
  <c r="N82" i="76" s="1"/>
  <c r="R73" i="76"/>
  <c r="R75" i="76" s="1"/>
  <c r="R82" i="76" s="1"/>
  <c r="X73" i="76"/>
  <c r="X75" i="76" s="1"/>
  <c r="X82" i="76" s="1"/>
  <c r="K73" i="76"/>
  <c r="K75" i="76" s="1"/>
  <c r="K82" i="76" s="1"/>
  <c r="AA73" i="76"/>
  <c r="AA75" i="76" s="1"/>
  <c r="AA82" i="76" s="1"/>
  <c r="K49" i="76"/>
  <c r="K51" i="76" s="1"/>
  <c r="H49" i="76"/>
  <c r="H51" i="76" s="1"/>
  <c r="Q49" i="76"/>
  <c r="Q51" i="76" s="1"/>
  <c r="T73" i="76"/>
  <c r="T75" i="76" s="1"/>
  <c r="T82" i="76" s="1"/>
  <c r="T49" i="76"/>
  <c r="T51" i="76" s="1"/>
  <c r="U49" i="76"/>
  <c r="U51" i="76" s="1"/>
  <c r="L49" i="76"/>
  <c r="L51" i="76" s="1"/>
  <c r="I49" i="76"/>
  <c r="I51" i="76" s="1"/>
  <c r="M49" i="76"/>
  <c r="M51" i="76" s="1"/>
  <c r="G49" i="76"/>
  <c r="G51" i="76" s="1"/>
  <c r="V49" i="76"/>
  <c r="V51" i="76" s="1"/>
  <c r="O49" i="76"/>
  <c r="O51" i="76" s="1"/>
  <c r="P49" i="76"/>
  <c r="P51" i="76" s="1"/>
  <c r="Z73" i="76"/>
  <c r="Z75" i="76" s="1"/>
  <c r="Z82" i="76" s="1"/>
  <c r="P73" i="76"/>
  <c r="P75" i="76" s="1"/>
  <c r="P82" i="76" s="1"/>
  <c r="AA49" i="76"/>
  <c r="AA51" i="76" s="1"/>
  <c r="O73" i="76"/>
  <c r="O75" i="76" s="1"/>
  <c r="O82" i="76" s="1"/>
  <c r="V73" i="76"/>
  <c r="V75" i="76" s="1"/>
  <c r="V82" i="76" s="1"/>
  <c r="AB49" i="76"/>
  <c r="AB51" i="76" s="1"/>
  <c r="Q73" i="76"/>
  <c r="Q75" i="76" s="1"/>
  <c r="Q82" i="76" s="1"/>
  <c r="R49" i="76"/>
  <c r="R51" i="76" s="1"/>
  <c r="J49" i="76"/>
  <c r="J51" i="76" s="1"/>
  <c r="I73" i="76"/>
  <c r="I75" i="76" s="1"/>
  <c r="I82" i="76" s="1"/>
  <c r="M73" i="76"/>
  <c r="M75" i="76" s="1"/>
  <c r="M82" i="76" s="1"/>
  <c r="Z49" i="76"/>
  <c r="Z51" i="76" s="1"/>
  <c r="L73" i="76"/>
  <c r="L75" i="76" s="1"/>
  <c r="L82" i="76" s="1"/>
  <c r="H73" i="76"/>
  <c r="H75" i="76" s="1"/>
  <c r="H82" i="76" s="1"/>
  <c r="N49" i="76"/>
  <c r="N51" i="76" s="1"/>
  <c r="N59" i="76" s="1"/>
  <c r="X44" i="76"/>
  <c r="X48" i="76" s="1"/>
  <c r="X39" i="76"/>
  <c r="X34" i="76"/>
  <c r="X37" i="76" s="1"/>
  <c r="AC71" i="1" l="1"/>
  <c r="AC65" i="1"/>
  <c r="AC47" i="1"/>
  <c r="AC36" i="1"/>
  <c r="AC30" i="1"/>
  <c r="AC24" i="1"/>
  <c r="AC17" i="1"/>
  <c r="Y40" i="1"/>
  <c r="X41" i="76" s="1"/>
  <c r="X40" i="76"/>
  <c r="X28" i="76"/>
  <c r="X31" i="76" s="1"/>
  <c r="X23" i="76"/>
  <c r="X25" i="76" s="1"/>
  <c r="AC72" i="1" l="1"/>
  <c r="AC74" i="1" s="1"/>
  <c r="AC81" i="1" s="1"/>
  <c r="G43" i="69" s="1"/>
  <c r="X49" i="76"/>
  <c r="X51" i="76" s="1"/>
  <c r="AC48" i="1"/>
  <c r="AC50" i="1" s="1"/>
  <c r="F79" i="76"/>
  <c r="E34" i="3" l="1"/>
  <c r="F34" i="75" s="1"/>
  <c r="G34" i="75" s="1"/>
  <c r="AC53" i="1"/>
  <c r="AB54" i="76" s="1"/>
  <c r="F283" i="5"/>
  <c r="J10" i="1" l="1"/>
  <c r="J11" i="76" s="1"/>
  <c r="K10" i="1" l="1"/>
  <c r="K11" i="76" s="1"/>
  <c r="B54" i="69"/>
  <c r="B53" i="69"/>
  <c r="B20" i="69"/>
  <c r="B21" i="69"/>
  <c r="B41" i="75"/>
  <c r="C13" i="3"/>
  <c r="B16" i="75" s="1"/>
  <c r="B13" i="3"/>
  <c r="L10" i="1" l="1"/>
  <c r="J71" i="1"/>
  <c r="J65" i="1"/>
  <c r="J47" i="1"/>
  <c r="J36" i="1"/>
  <c r="J30" i="1"/>
  <c r="J24" i="1"/>
  <c r="J17" i="1"/>
  <c r="L11" i="76" l="1"/>
  <c r="M10" i="1"/>
  <c r="M11" i="76" s="1"/>
  <c r="J72" i="1"/>
  <c r="J74" i="1" s="1"/>
  <c r="J81" i="1" s="1"/>
  <c r="E13" i="3" s="1"/>
  <c r="F16" i="75" s="1"/>
  <c r="G16" i="75" s="1"/>
  <c r="J48" i="1"/>
  <c r="J50" i="1" s="1"/>
  <c r="N10" i="1" l="1"/>
  <c r="N11" i="76" s="1"/>
  <c r="G20" i="69"/>
  <c r="J53" i="1"/>
  <c r="J54" i="76" s="1"/>
  <c r="O10" i="1" l="1"/>
  <c r="O11" i="76" s="1"/>
  <c r="AM36" i="1"/>
  <c r="AM30" i="1"/>
  <c r="AM24" i="1"/>
  <c r="AM17" i="1"/>
  <c r="AN71" i="1"/>
  <c r="AN65" i="1"/>
  <c r="AN36" i="1"/>
  <c r="AN30" i="1"/>
  <c r="AN24" i="1"/>
  <c r="AN17" i="1"/>
  <c r="AN10" i="1" l="1"/>
  <c r="AO10" i="1" s="1"/>
  <c r="AP10" i="1" s="1"/>
  <c r="AQ10" i="1" s="1"/>
  <c r="AR10" i="1" s="1"/>
  <c r="A58" i="69" s="1"/>
  <c r="P10" i="1"/>
  <c r="P11" i="76" s="1"/>
  <c r="AN72" i="1"/>
  <c r="AN74" i="1" s="1"/>
  <c r="AN81" i="1" s="1"/>
  <c r="E45" i="3" s="1"/>
  <c r="AM71" i="1"/>
  <c r="AM47" i="1"/>
  <c r="AM48" i="1" s="1"/>
  <c r="AM50" i="1" s="1"/>
  <c r="A41" i="75"/>
  <c r="A53" i="69"/>
  <c r="AN47" i="1"/>
  <c r="AN48" i="1" s="1"/>
  <c r="AN50" i="1" s="1"/>
  <c r="AM65" i="1"/>
  <c r="AA84" i="55"/>
  <c r="B49" i="69"/>
  <c r="B59" i="69"/>
  <c r="B48" i="69"/>
  <c r="AT10" i="1" l="1"/>
  <c r="AO11" i="76"/>
  <c r="A49" i="3"/>
  <c r="A47" i="75" s="1"/>
  <c r="AM11" i="76"/>
  <c r="A45" i="3"/>
  <c r="A43" i="75" s="1"/>
  <c r="AK11" i="76"/>
  <c r="Q10" i="1"/>
  <c r="Q11" i="76" s="1"/>
  <c r="AM72" i="1"/>
  <c r="AM74" i="1" s="1"/>
  <c r="AM81" i="1" s="1"/>
  <c r="A54" i="69"/>
  <c r="G54" i="69"/>
  <c r="AM53" i="1"/>
  <c r="AJ54" i="76" s="1"/>
  <c r="AN53" i="1"/>
  <c r="AK54" i="76" s="1"/>
  <c r="A56" i="69" l="1"/>
  <c r="A47" i="3"/>
  <c r="A45" i="75" s="1"/>
  <c r="F41" i="75"/>
  <c r="G41" i="75" s="1"/>
  <c r="E44" i="3"/>
  <c r="R10" i="1"/>
  <c r="G53" i="69"/>
  <c r="C40" i="3"/>
  <c r="B40" i="75" s="1"/>
  <c r="B40" i="3"/>
  <c r="C50" i="3"/>
  <c r="B48" i="75" s="1"/>
  <c r="B50" i="3"/>
  <c r="C39" i="3"/>
  <c r="B39" i="75" s="1"/>
  <c r="B39" i="3"/>
  <c r="AI71" i="1"/>
  <c r="AI65" i="1"/>
  <c r="AI47" i="1"/>
  <c r="AI36" i="1"/>
  <c r="AI30" i="1"/>
  <c r="AI24" i="1"/>
  <c r="AI17" i="1"/>
  <c r="AF71" i="1"/>
  <c r="AF65" i="1"/>
  <c r="AF47" i="1"/>
  <c r="AF36" i="1"/>
  <c r="AF30" i="1"/>
  <c r="AF24" i="1"/>
  <c r="AF17" i="1"/>
  <c r="AT71" i="1"/>
  <c r="AH71" i="1"/>
  <c r="AT65" i="1"/>
  <c r="AH65" i="1"/>
  <c r="AT47" i="1"/>
  <c r="AH47" i="1"/>
  <c r="AT36" i="1"/>
  <c r="AH36" i="1"/>
  <c r="AT30" i="1"/>
  <c r="AH30" i="1"/>
  <c r="AT24" i="1"/>
  <c r="AH24" i="1"/>
  <c r="AT17" i="1"/>
  <c r="AH17" i="1"/>
  <c r="A55" i="69" l="1"/>
  <c r="AL11" i="76"/>
  <c r="A46" i="3"/>
  <c r="A44" i="75" s="1"/>
  <c r="AI72" i="1"/>
  <c r="AI74" i="1" s="1"/>
  <c r="AI81" i="1" s="1"/>
  <c r="R11" i="76"/>
  <c r="S10" i="1"/>
  <c r="AT72" i="1"/>
  <c r="AT74" i="1" s="1"/>
  <c r="AT81" i="1" s="1"/>
  <c r="G59" i="69" s="1"/>
  <c r="AF72" i="1"/>
  <c r="AF74" i="1" s="1"/>
  <c r="AF81" i="1" s="1"/>
  <c r="AH72" i="1"/>
  <c r="AI48" i="1"/>
  <c r="AI50" i="1" s="1"/>
  <c r="AI53" i="1" s="1"/>
  <c r="AH54" i="76" s="1"/>
  <c r="AF48" i="1"/>
  <c r="AF50" i="1" s="1"/>
  <c r="AT48" i="1"/>
  <c r="AT50" i="1" s="1"/>
  <c r="AT53" i="1" s="1"/>
  <c r="AP54" i="76" s="1"/>
  <c r="AH48" i="1"/>
  <c r="AH50" i="1" s="1"/>
  <c r="AH53" i="1" s="1"/>
  <c r="AG54" i="76" s="1"/>
  <c r="AH74" i="1" l="1"/>
  <c r="AH81" i="1" s="1"/>
  <c r="AP11" i="76"/>
  <c r="A57" i="69"/>
  <c r="AN11" i="76"/>
  <c r="A48" i="3"/>
  <c r="A46" i="75" s="1"/>
  <c r="G46" i="69"/>
  <c r="E37" i="3"/>
  <c r="F37" i="75" s="1"/>
  <c r="G37" i="75" s="1"/>
  <c r="T10" i="1"/>
  <c r="U10" i="1" s="1"/>
  <c r="V10" i="1" s="1"/>
  <c r="W10" i="1" s="1"/>
  <c r="A29" i="69"/>
  <c r="A22" i="3"/>
  <c r="A25" i="75" s="1"/>
  <c r="S11" i="76"/>
  <c r="E40" i="3"/>
  <c r="F40" i="75" s="1"/>
  <c r="G40" i="75" s="1"/>
  <c r="G49" i="69"/>
  <c r="E50" i="3"/>
  <c r="AF53" i="1"/>
  <c r="AE54" i="76" s="1"/>
  <c r="E39" i="3" l="1"/>
  <c r="F39" i="75" s="1"/>
  <c r="G39" i="75" s="1"/>
  <c r="G48" i="69"/>
  <c r="W11" i="76"/>
  <c r="A33" i="69"/>
  <c r="T11" i="76"/>
  <c r="V11" i="76"/>
  <c r="F63" i="76"/>
  <c r="F8" i="76"/>
  <c r="F9" i="76"/>
  <c r="F10" i="76"/>
  <c r="F12" i="76"/>
  <c r="F15" i="76"/>
  <c r="F16" i="76"/>
  <c r="F17" i="76"/>
  <c r="F22" i="76"/>
  <c r="F23" i="76"/>
  <c r="F24" i="76"/>
  <c r="F28" i="76"/>
  <c r="F29" i="76"/>
  <c r="F30" i="76"/>
  <c r="F34" i="76"/>
  <c r="F35" i="76"/>
  <c r="F36" i="76"/>
  <c r="F39" i="76"/>
  <c r="F40" i="76"/>
  <c r="F41" i="76"/>
  <c r="F44" i="76"/>
  <c r="F45" i="76"/>
  <c r="F46" i="76"/>
  <c r="F47" i="76"/>
  <c r="F56" i="76"/>
  <c r="F57" i="76"/>
  <c r="F64" i="76"/>
  <c r="F65" i="76"/>
  <c r="F69" i="76"/>
  <c r="F70" i="76"/>
  <c r="F71" i="76"/>
  <c r="F74" i="76"/>
  <c r="F76" i="76"/>
  <c r="F77" i="76"/>
  <c r="F78" i="76"/>
  <c r="E12" i="76"/>
  <c r="E11" i="76"/>
  <c r="E10" i="76"/>
  <c r="E9" i="76"/>
  <c r="E8" i="76"/>
  <c r="A5" i="76"/>
  <c r="A4" i="76"/>
  <c r="A3" i="76"/>
  <c r="A2" i="76"/>
  <c r="U11" i="76" l="1"/>
  <c r="F72" i="76"/>
  <c r="F31" i="76"/>
  <c r="F18" i="76"/>
  <c r="F66" i="76"/>
  <c r="F25" i="76"/>
  <c r="F37" i="76"/>
  <c r="F48" i="76"/>
  <c r="F73" i="76" l="1"/>
  <c r="F75" i="76" s="1"/>
  <c r="F49" i="76"/>
  <c r="F51" i="76" s="1"/>
  <c r="T36" i="1" l="1"/>
  <c r="T30" i="1"/>
  <c r="T24" i="1"/>
  <c r="T17" i="1"/>
  <c r="P36" i="1" l="1"/>
  <c r="O36" i="1"/>
  <c r="W36" i="1"/>
  <c r="Q36" i="1"/>
  <c r="P30" i="1"/>
  <c r="O30" i="1"/>
  <c r="W30" i="1"/>
  <c r="Q30" i="1"/>
  <c r="P24" i="1"/>
  <c r="O24" i="1"/>
  <c r="W24" i="1"/>
  <c r="Q24" i="1"/>
  <c r="P17" i="1"/>
  <c r="O17" i="1"/>
  <c r="W17" i="1"/>
  <c r="Q17" i="1"/>
  <c r="G58" i="75" l="1"/>
  <c r="G15" i="5" l="1"/>
  <c r="G16" i="5"/>
  <c r="G17" i="5"/>
  <c r="G22" i="5"/>
  <c r="G23" i="5"/>
  <c r="G24" i="5"/>
  <c r="G28" i="5"/>
  <c r="G29" i="5"/>
  <c r="G30" i="5"/>
  <c r="G34" i="5"/>
  <c r="G35" i="5"/>
  <c r="G36" i="5"/>
  <c r="G39" i="5"/>
  <c r="G40" i="5"/>
  <c r="G41" i="5"/>
  <c r="G44" i="5"/>
  <c r="G45" i="5"/>
  <c r="G46" i="5"/>
  <c r="G54" i="5"/>
  <c r="G56" i="5"/>
  <c r="G57" i="5"/>
  <c r="G63" i="5"/>
  <c r="G64" i="5"/>
  <c r="G65" i="5"/>
  <c r="G69" i="5"/>
  <c r="G70" i="5"/>
  <c r="G71" i="5"/>
  <c r="G74" i="5"/>
  <c r="G76" i="5"/>
  <c r="G77" i="5"/>
  <c r="G78" i="5"/>
  <c r="G79" i="5"/>
  <c r="G72" i="5" l="1"/>
  <c r="G18" i="5"/>
  <c r="G66" i="5"/>
  <c r="G37" i="5"/>
  <c r="G31" i="5"/>
  <c r="G25" i="5"/>
  <c r="G48" i="5"/>
  <c r="F229" i="5"/>
  <c r="F230" i="5"/>
  <c r="F63" i="5" s="1"/>
  <c r="F231" i="5"/>
  <c r="F232" i="5"/>
  <c r="F233" i="5"/>
  <c r="F234" i="5"/>
  <c r="F235" i="5"/>
  <c r="F236" i="5"/>
  <c r="F237" i="5"/>
  <c r="F238" i="5"/>
  <c r="F239" i="5"/>
  <c r="F240" i="5"/>
  <c r="F241" i="5"/>
  <c r="F242" i="5"/>
  <c r="F243" i="5"/>
  <c r="F244" i="5"/>
  <c r="F245" i="5"/>
  <c r="F246" i="5"/>
  <c r="F64" i="5" s="1"/>
  <c r="F247" i="5"/>
  <c r="F248" i="5"/>
  <c r="F249" i="5"/>
  <c r="F250" i="5"/>
  <c r="F251" i="5"/>
  <c r="F252" i="5"/>
  <c r="F253" i="5"/>
  <c r="F254" i="5"/>
  <c r="F255" i="5"/>
  <c r="F256" i="5"/>
  <c r="F257" i="5"/>
  <c r="F258" i="5"/>
  <c r="F259" i="5"/>
  <c r="F65" i="5" s="1"/>
  <c r="F260" i="5"/>
  <c r="F261" i="5"/>
  <c r="F262" i="5"/>
  <c r="F263" i="5"/>
  <c r="F264" i="5"/>
  <c r="F265" i="5"/>
  <c r="F266" i="5"/>
  <c r="F70" i="5" s="1"/>
  <c r="F267" i="5"/>
  <c r="F268" i="5"/>
  <c r="F269" i="5"/>
  <c r="F270" i="5"/>
  <c r="F271" i="5"/>
  <c r="F272" i="5"/>
  <c r="F273" i="5"/>
  <c r="F274" i="5"/>
  <c r="F275" i="5"/>
  <c r="F276" i="5"/>
  <c r="F277" i="5"/>
  <c r="F278" i="5"/>
  <c r="F279" i="5"/>
  <c r="F280" i="5"/>
  <c r="F281" i="5"/>
  <c r="F282" i="5"/>
  <c r="F284" i="5"/>
  <c r="F285" i="5"/>
  <c r="F286" i="5"/>
  <c r="F74" i="5" s="1"/>
  <c r="F287" i="5"/>
  <c r="F288" i="5"/>
  <c r="F290" i="5"/>
  <c r="F291" i="5"/>
  <c r="F292" i="5"/>
  <c r="F293" i="5"/>
  <c r="F294" i="5"/>
  <c r="F295" i="5"/>
  <c r="F296" i="5"/>
  <c r="F297" i="5"/>
  <c r="F79" i="5" s="1"/>
  <c r="F298" i="5"/>
  <c r="F299" i="5"/>
  <c r="F300" i="5"/>
  <c r="F301" i="5"/>
  <c r="G73" i="5" l="1"/>
  <c r="G75" i="5" s="1"/>
  <c r="G82" i="5" s="1"/>
  <c r="F66" i="5"/>
  <c r="F76" i="5"/>
  <c r="E76" i="5" s="1"/>
  <c r="F71" i="5"/>
  <c r="F78" i="5"/>
  <c r="E78" i="5" s="1"/>
  <c r="F77" i="5"/>
  <c r="E77" i="5" s="1"/>
  <c r="F69" i="5"/>
  <c r="G49" i="5"/>
  <c r="G51" i="5" s="1"/>
  <c r="G59" i="5" s="1"/>
  <c r="E45" i="1"/>
  <c r="E46" i="76" s="1"/>
  <c r="F82" i="76"/>
  <c r="E79" i="5"/>
  <c r="AA36" i="1"/>
  <c r="AA24" i="1"/>
  <c r="I55" i="54"/>
  <c r="I72" i="54"/>
  <c r="I66" i="54"/>
  <c r="I31" i="54"/>
  <c r="I25" i="54"/>
  <c r="E78" i="1"/>
  <c r="E74" i="5"/>
  <c r="E54" i="1"/>
  <c r="V17" i="1"/>
  <c r="U17" i="1"/>
  <c r="F17" i="1"/>
  <c r="G17" i="1"/>
  <c r="H17" i="1"/>
  <c r="R17" i="1"/>
  <c r="I17" i="1"/>
  <c r="AB17" i="1"/>
  <c r="K17" i="1"/>
  <c r="L17" i="1"/>
  <c r="N17" i="1"/>
  <c r="F72" i="5" l="1"/>
  <c r="F73" i="5" s="1"/>
  <c r="F75" i="5" s="1"/>
  <c r="F82" i="5" s="1"/>
  <c r="F84" i="5" s="1"/>
  <c r="E46" i="5"/>
  <c r="E76" i="1"/>
  <c r="E77" i="76" s="1"/>
  <c r="E77" i="1"/>
  <c r="X77" i="1" s="1"/>
  <c r="AK77" i="1" s="1"/>
  <c r="I73" i="54"/>
  <c r="I75" i="54" s="1"/>
  <c r="I81" i="54" s="1"/>
  <c r="F79" i="54"/>
  <c r="E79" i="76"/>
  <c r="X45" i="1"/>
  <c r="AK45" i="1" s="1"/>
  <c r="F46" i="54"/>
  <c r="F55" i="54"/>
  <c r="E55" i="76"/>
  <c r="F77" i="54" l="1"/>
  <c r="E78" i="76"/>
  <c r="F78" i="54"/>
  <c r="A4" i="75"/>
  <c r="A88" i="75" s="1"/>
  <c r="B32" i="3"/>
  <c r="B31" i="3"/>
  <c r="B30" i="3"/>
  <c r="B24" i="3"/>
  <c r="B25" i="3"/>
  <c r="B23" i="3"/>
  <c r="B19" i="3"/>
  <c r="B18" i="3"/>
  <c r="B26" i="3"/>
  <c r="B20" i="3"/>
  <c r="B17" i="3"/>
  <c r="B16" i="3"/>
  <c r="B15" i="3"/>
  <c r="B14" i="3"/>
  <c r="B33" i="3"/>
  <c r="B12" i="3"/>
  <c r="B21" i="3"/>
  <c r="B11" i="3"/>
  <c r="B10" i="3"/>
  <c r="B9" i="3"/>
  <c r="B8" i="3"/>
  <c r="C146" i="75"/>
  <c r="C145" i="75"/>
  <c r="F132" i="75"/>
  <c r="B132" i="75"/>
  <c r="F129" i="75"/>
  <c r="B129" i="75"/>
  <c r="A129" i="75"/>
  <c r="F128" i="75"/>
  <c r="B128" i="75"/>
  <c r="A128" i="75"/>
  <c r="F127" i="75"/>
  <c r="B127" i="75"/>
  <c r="A127" i="75"/>
  <c r="F126" i="75"/>
  <c r="B126" i="75"/>
  <c r="A126" i="75"/>
  <c r="F125" i="75"/>
  <c r="B125" i="75"/>
  <c r="A125" i="75"/>
  <c r="F124" i="75"/>
  <c r="B124" i="75"/>
  <c r="A124" i="75"/>
  <c r="F123" i="75"/>
  <c r="B123" i="75"/>
  <c r="A123" i="75"/>
  <c r="F122" i="75"/>
  <c r="B122" i="75"/>
  <c r="A122" i="75"/>
  <c r="F121" i="75"/>
  <c r="B121" i="75"/>
  <c r="A121" i="75"/>
  <c r="F120" i="75"/>
  <c r="B120" i="75"/>
  <c r="A120" i="75"/>
  <c r="F119" i="75"/>
  <c r="B119" i="75"/>
  <c r="A119" i="75"/>
  <c r="F118" i="75"/>
  <c r="B118" i="75"/>
  <c r="A118" i="75"/>
  <c r="F117" i="75"/>
  <c r="B117" i="75"/>
  <c r="A117" i="75"/>
  <c r="F116" i="75"/>
  <c r="B116" i="75"/>
  <c r="A116" i="75"/>
  <c r="F115" i="75"/>
  <c r="B115" i="75"/>
  <c r="A115" i="75"/>
  <c r="F114" i="75"/>
  <c r="B114" i="75"/>
  <c r="A114" i="75"/>
  <c r="F112" i="75"/>
  <c r="B112" i="75"/>
  <c r="A112" i="75"/>
  <c r="F111" i="75"/>
  <c r="B111" i="75"/>
  <c r="A111" i="75"/>
  <c r="F110" i="75"/>
  <c r="B110" i="75"/>
  <c r="A110" i="75"/>
  <c r="F109" i="75"/>
  <c r="B109" i="75"/>
  <c r="A109" i="75"/>
  <c r="F108" i="75"/>
  <c r="B108" i="75"/>
  <c r="A108" i="75"/>
  <c r="F107" i="75"/>
  <c r="B107" i="75"/>
  <c r="A107" i="75"/>
  <c r="F106" i="75"/>
  <c r="B106" i="75"/>
  <c r="A106" i="75"/>
  <c r="F105" i="75"/>
  <c r="B105" i="75"/>
  <c r="A105" i="75"/>
  <c r="F104" i="75"/>
  <c r="B104" i="75"/>
  <c r="A104" i="75"/>
  <c r="F103" i="75"/>
  <c r="B103" i="75"/>
  <c r="A103" i="75"/>
  <c r="F102" i="75"/>
  <c r="B102" i="75"/>
  <c r="A102" i="75"/>
  <c r="F101" i="75"/>
  <c r="B101" i="75"/>
  <c r="A101" i="75"/>
  <c r="F100" i="75"/>
  <c r="B100" i="75"/>
  <c r="A100" i="75"/>
  <c r="F99" i="75"/>
  <c r="B99" i="75"/>
  <c r="A99" i="75"/>
  <c r="F98" i="75"/>
  <c r="B98" i="75"/>
  <c r="A98" i="75"/>
  <c r="F97" i="75"/>
  <c r="B97" i="75"/>
  <c r="A97" i="75"/>
  <c r="F96" i="75"/>
  <c r="B96" i="75"/>
  <c r="A96" i="75"/>
  <c r="F95" i="75"/>
  <c r="B95" i="75"/>
  <c r="A95" i="75"/>
  <c r="F94" i="75"/>
  <c r="B94" i="75"/>
  <c r="A94" i="75"/>
  <c r="F93" i="75"/>
  <c r="B93" i="75"/>
  <c r="A93" i="75"/>
  <c r="F92" i="75"/>
  <c r="F130" i="75" s="1"/>
  <c r="B92" i="75"/>
  <c r="A92" i="75"/>
  <c r="A86" i="75"/>
  <c r="A85" i="75"/>
  <c r="C83" i="75"/>
  <c r="C161" i="75" s="1"/>
  <c r="C82" i="75"/>
  <c r="C160" i="75" s="1"/>
  <c r="C79" i="75"/>
  <c r="C157" i="75" s="1"/>
  <c r="C78" i="75"/>
  <c r="C156" i="75" s="1"/>
  <c r="C75" i="75"/>
  <c r="C153" i="75" s="1"/>
  <c r="C74" i="75"/>
  <c r="C152" i="75" s="1"/>
  <c r="C73" i="75"/>
  <c r="C151" i="75" s="1"/>
  <c r="C69" i="75"/>
  <c r="E76" i="75" s="1"/>
  <c r="I10" i="75"/>
  <c r="F134" i="75" l="1"/>
  <c r="F138" i="75" s="1"/>
  <c r="F141" i="75" s="1"/>
  <c r="C84" i="75"/>
  <c r="D83" i="75" s="1"/>
  <c r="C147" i="75"/>
  <c r="E154" i="75" s="1"/>
  <c r="C154" i="75"/>
  <c r="D153" i="75" s="1"/>
  <c r="C158" i="75"/>
  <c r="D157" i="75" s="1"/>
  <c r="C162" i="75"/>
  <c r="D160" i="75" s="1"/>
  <c r="D162" i="75" s="1"/>
  <c r="C80" i="75"/>
  <c r="D78" i="75" s="1"/>
  <c r="C76" i="75"/>
  <c r="D74" i="75" s="1"/>
  <c r="E74" i="75" s="1"/>
  <c r="E84" i="75" s="1"/>
  <c r="D79" i="75" l="1"/>
  <c r="D80" i="75" s="1"/>
  <c r="D152" i="75"/>
  <c r="D82" i="75"/>
  <c r="D84" i="75" s="1"/>
  <c r="D151" i="75"/>
  <c r="E151" i="75" s="1"/>
  <c r="E158" i="75" s="1"/>
  <c r="E157" i="75" s="1"/>
  <c r="E153" i="75"/>
  <c r="D161" i="75"/>
  <c r="E83" i="75"/>
  <c r="D75" i="75"/>
  <c r="E75" i="75" s="1"/>
  <c r="D73" i="75"/>
  <c r="D156" i="75"/>
  <c r="D154" i="75" l="1"/>
  <c r="E152" i="75"/>
  <c r="E162" i="75" s="1"/>
  <c r="E160" i="75" s="1"/>
  <c r="E82" i="75"/>
  <c r="D76" i="75"/>
  <c r="E73" i="75"/>
  <c r="E80" i="75" s="1"/>
  <c r="E156" i="75"/>
  <c r="D158" i="75"/>
  <c r="E161" i="75" l="1"/>
  <c r="E78" i="75"/>
  <c r="E79" i="75"/>
  <c r="F24" i="1" l="1"/>
  <c r="G24" i="1"/>
  <c r="H24" i="1"/>
  <c r="R24" i="1"/>
  <c r="I24" i="1"/>
  <c r="AB24" i="1"/>
  <c r="K24" i="1"/>
  <c r="L24" i="1"/>
  <c r="N24" i="1"/>
  <c r="U24" i="1"/>
  <c r="Y24" i="1"/>
  <c r="Z24" i="1"/>
  <c r="Z17" i="1"/>
  <c r="AA17" i="1"/>
  <c r="Y17" i="1"/>
  <c r="X42" i="1" l="1"/>
  <c r="A5" i="54"/>
  <c r="A2" i="54"/>
  <c r="A3" i="1"/>
  <c r="A4" i="1"/>
  <c r="A1" i="1"/>
  <c r="A1" i="3" s="1"/>
  <c r="Z10" i="1"/>
  <c r="Y11" i="76" s="1"/>
  <c r="F10" i="1"/>
  <c r="AA10" i="1" l="1"/>
  <c r="AB10" i="1" s="1"/>
  <c r="AC10" i="1" s="1"/>
  <c r="AD10" i="1" s="1"/>
  <c r="AE10" i="1" s="1"/>
  <c r="AF10" i="1" s="1"/>
  <c r="AG10" i="1" s="1"/>
  <c r="AH10" i="1" s="1"/>
  <c r="AI10" i="1" s="1"/>
  <c r="C4" i="56"/>
  <c r="A4" i="3"/>
  <c r="G10" i="1"/>
  <c r="G11" i="76" s="1"/>
  <c r="F11" i="76"/>
  <c r="Z11" i="76" l="1"/>
  <c r="H10" i="1"/>
  <c r="H11" i="76" s="1"/>
  <c r="A46" i="69" l="1"/>
  <c r="A35" i="3"/>
  <c r="A35" i="75" s="1"/>
  <c r="AC11" i="76"/>
  <c r="A44" i="69"/>
  <c r="A37" i="3"/>
  <c r="A37" i="75" s="1"/>
  <c r="E28" i="5"/>
  <c r="E34" i="5"/>
  <c r="AE11" i="76" l="1"/>
  <c r="AA11" i="76"/>
  <c r="A34" i="3"/>
  <c r="A34" i="75" s="1"/>
  <c r="A43" i="69"/>
  <c r="AB11" i="76"/>
  <c r="AD11" i="76" l="1"/>
  <c r="A36" i="3"/>
  <c r="A36" i="75" s="1"/>
  <c r="A45" i="69"/>
  <c r="C25" i="3"/>
  <c r="B28" i="75" s="1"/>
  <c r="B32" i="69"/>
  <c r="AF11" i="76" l="1"/>
  <c r="A47" i="69"/>
  <c r="A38" i="3"/>
  <c r="A38" i="75" s="1"/>
  <c r="A50" i="3"/>
  <c r="A48" i="75" s="1"/>
  <c r="A59" i="69"/>
  <c r="V71" i="1"/>
  <c r="V30" i="1"/>
  <c r="V47" i="1"/>
  <c r="V65" i="1"/>
  <c r="X76" i="1"/>
  <c r="AK76" i="1" s="1"/>
  <c r="A39" i="3" l="1"/>
  <c r="A39" i="75" s="1"/>
  <c r="AG11" i="76"/>
  <c r="A48" i="69"/>
  <c r="V72" i="1"/>
  <c r="V74" i="1" s="1"/>
  <c r="V81" i="1" s="1"/>
  <c r="V48" i="1"/>
  <c r="V50" i="1" s="1"/>
  <c r="X78" i="1"/>
  <c r="AK78" i="1" s="1"/>
  <c r="E21" i="56"/>
  <c r="E23" i="56" s="1"/>
  <c r="V53" i="1" l="1"/>
  <c r="V54" i="76" s="1"/>
  <c r="A40" i="3"/>
  <c r="A40" i="75" s="1"/>
  <c r="A49" i="69"/>
  <c r="AH11" i="76"/>
  <c r="G32" i="69"/>
  <c r="E25" i="3"/>
  <c r="F28" i="75" s="1"/>
  <c r="G28" i="75" s="1"/>
  <c r="E25" i="56"/>
  <c r="E27" i="56" s="1"/>
  <c r="E62" i="1"/>
  <c r="E63" i="76" s="1"/>
  <c r="E68" i="1"/>
  <c r="E69" i="76" s="1"/>
  <c r="E69" i="1"/>
  <c r="E73" i="1"/>
  <c r="E75" i="1"/>
  <c r="E76" i="76" s="1"/>
  <c r="E14" i="1"/>
  <c r="X14" i="1" s="1"/>
  <c r="AK14" i="1" s="1"/>
  <c r="E21" i="1"/>
  <c r="E22" i="76" s="1"/>
  <c r="E22" i="1"/>
  <c r="E23" i="76" s="1"/>
  <c r="E27" i="1"/>
  <c r="E29" i="1"/>
  <c r="E30" i="76" s="1"/>
  <c r="E33" i="1"/>
  <c r="E34" i="76" s="1"/>
  <c r="E34" i="1"/>
  <c r="E35" i="76" s="1"/>
  <c r="E35" i="1"/>
  <c r="E38" i="1"/>
  <c r="E39" i="76" s="1"/>
  <c r="E39" i="1"/>
  <c r="E40" i="76" s="1"/>
  <c r="E40" i="1"/>
  <c r="E43" i="1"/>
  <c r="E46" i="1"/>
  <c r="E53" i="1"/>
  <c r="E54" i="76" s="1"/>
  <c r="E55" i="1"/>
  <c r="E56" i="1"/>
  <c r="B41" i="69"/>
  <c r="A41" i="69"/>
  <c r="B40" i="69"/>
  <c r="A40" i="69"/>
  <c r="B39" i="69"/>
  <c r="A39" i="69"/>
  <c r="B31" i="69"/>
  <c r="B30" i="69"/>
  <c r="B26" i="69"/>
  <c r="B25" i="69"/>
  <c r="B27" i="69"/>
  <c r="B24" i="69"/>
  <c r="B23" i="69"/>
  <c r="B22" i="69"/>
  <c r="B42" i="69"/>
  <c r="A42" i="69"/>
  <c r="B19" i="69"/>
  <c r="B28" i="69"/>
  <c r="B14" i="69"/>
  <c r="A14" i="69"/>
  <c r="B13" i="69"/>
  <c r="A13" i="69"/>
  <c r="B12" i="69"/>
  <c r="A12" i="69"/>
  <c r="B11" i="69"/>
  <c r="A11" i="69"/>
  <c r="C23" i="3"/>
  <c r="B26" i="75" s="1"/>
  <c r="A32" i="3"/>
  <c r="A32" i="75" s="1"/>
  <c r="C32" i="3"/>
  <c r="B32" i="75" s="1"/>
  <c r="A31" i="3"/>
  <c r="A31" i="75" s="1"/>
  <c r="C31" i="3"/>
  <c r="B31" i="75" s="1"/>
  <c r="E70" i="1"/>
  <c r="E63" i="1"/>
  <c r="E64" i="76" s="1"/>
  <c r="E64" i="1"/>
  <c r="E65" i="76" s="1"/>
  <c r="E44" i="1"/>
  <c r="E45" i="76" s="1"/>
  <c r="E28" i="1"/>
  <c r="E29" i="76" s="1"/>
  <c r="E23" i="1"/>
  <c r="E24" i="76" s="1"/>
  <c r="E15" i="1"/>
  <c r="E16" i="76" s="1"/>
  <c r="A30" i="3"/>
  <c r="A30" i="75" s="1"/>
  <c r="C30" i="3"/>
  <c r="B30" i="75" s="1"/>
  <c r="A10" i="3"/>
  <c r="A13" i="75" s="1"/>
  <c r="C10" i="3"/>
  <c r="B13" i="75" s="1"/>
  <c r="A11" i="3"/>
  <c r="A14" i="75" s="1"/>
  <c r="C11" i="3"/>
  <c r="B14" i="75" s="1"/>
  <c r="C21" i="3"/>
  <c r="B24" i="75" s="1"/>
  <c r="C12" i="3"/>
  <c r="B15" i="75" s="1"/>
  <c r="A33" i="3"/>
  <c r="A33" i="75" s="1"/>
  <c r="C33" i="3"/>
  <c r="B33" i="75" s="1"/>
  <c r="C14" i="3"/>
  <c r="B17" i="75" s="1"/>
  <c r="C15" i="3"/>
  <c r="B18" i="75" s="1"/>
  <c r="C16" i="3"/>
  <c r="B19" i="75" s="1"/>
  <c r="C17" i="3"/>
  <c r="B20" i="75" s="1"/>
  <c r="C20" i="3"/>
  <c r="B23" i="75" s="1"/>
  <c r="C26" i="3"/>
  <c r="B29" i="75" s="1"/>
  <c r="C18" i="3"/>
  <c r="B21" i="75" s="1"/>
  <c r="C19" i="3"/>
  <c r="B22" i="75" s="1"/>
  <c r="C24" i="3"/>
  <c r="B27" i="75" s="1"/>
  <c r="E36" i="5"/>
  <c r="H36" i="5" s="1"/>
  <c r="C8" i="3"/>
  <c r="B11" i="75" s="1"/>
  <c r="A9" i="3"/>
  <c r="A12" i="75" s="1"/>
  <c r="C9" i="3"/>
  <c r="B12" i="75" s="1"/>
  <c r="A8" i="3"/>
  <c r="A11" i="75" s="1"/>
  <c r="E15" i="5"/>
  <c r="H15" i="5" s="1"/>
  <c r="E54" i="5"/>
  <c r="H54" i="5" s="1"/>
  <c r="E16" i="5"/>
  <c r="H16" i="5" s="1"/>
  <c r="H21" i="5"/>
  <c r="E22" i="5"/>
  <c r="H22" i="5" s="1"/>
  <c r="E23" i="5"/>
  <c r="H23" i="5" s="1"/>
  <c r="E24" i="5"/>
  <c r="H24" i="5" s="1"/>
  <c r="H28" i="5"/>
  <c r="E29" i="5"/>
  <c r="E30" i="5"/>
  <c r="H30" i="5" s="1"/>
  <c r="H34" i="5"/>
  <c r="E35" i="5"/>
  <c r="H35" i="5" s="1"/>
  <c r="E39" i="5"/>
  <c r="H39" i="5" s="1"/>
  <c r="E40" i="5"/>
  <c r="H40" i="5" s="1"/>
  <c r="E41" i="5"/>
  <c r="H41" i="5" s="1"/>
  <c r="E44" i="5"/>
  <c r="H44" i="5" s="1"/>
  <c r="E45" i="5"/>
  <c r="H45" i="5" s="1"/>
  <c r="E47" i="5"/>
  <c r="H47" i="5" s="1"/>
  <c r="E56" i="5"/>
  <c r="H56" i="5" s="1"/>
  <c r="E57" i="5"/>
  <c r="H57" i="5" s="1"/>
  <c r="E63" i="5"/>
  <c r="H63" i="5" s="1"/>
  <c r="E64" i="5"/>
  <c r="H64" i="5" s="1"/>
  <c r="E65" i="5"/>
  <c r="H65" i="5" s="1"/>
  <c r="H68" i="5"/>
  <c r="E69" i="5"/>
  <c r="H69" i="5" s="1"/>
  <c r="E70" i="5"/>
  <c r="H70" i="5" s="1"/>
  <c r="E71" i="5"/>
  <c r="H71" i="5" s="1"/>
  <c r="H74" i="5"/>
  <c r="H76" i="5"/>
  <c r="H77" i="5"/>
  <c r="E17" i="5"/>
  <c r="E41" i="76" l="1"/>
  <c r="F41" i="77"/>
  <c r="F22" i="55"/>
  <c r="E15" i="76"/>
  <c r="AS14" i="1"/>
  <c r="AV14" i="1" s="1"/>
  <c r="X70" i="1"/>
  <c r="AK70" i="1" s="1"/>
  <c r="E71" i="76"/>
  <c r="X56" i="1"/>
  <c r="AK56" i="1" s="1"/>
  <c r="E57" i="76"/>
  <c r="F44" i="54"/>
  <c r="E44" i="76"/>
  <c r="X35" i="1"/>
  <c r="AK35" i="1" s="1"/>
  <c r="E36" i="76"/>
  <c r="E37" i="76" s="1"/>
  <c r="F28" i="54"/>
  <c r="E28" i="76"/>
  <c r="E66" i="76"/>
  <c r="X73" i="1"/>
  <c r="AK73" i="1" s="1"/>
  <c r="E74" i="76"/>
  <c r="X46" i="1"/>
  <c r="AK46" i="1" s="1"/>
  <c r="E47" i="76"/>
  <c r="X55" i="1"/>
  <c r="AK55" i="1" s="1"/>
  <c r="E56" i="76"/>
  <c r="E25" i="76"/>
  <c r="X69" i="1"/>
  <c r="AK69" i="1" s="1"/>
  <c r="E70" i="76"/>
  <c r="F74" i="54"/>
  <c r="F36" i="54"/>
  <c r="F57" i="54"/>
  <c r="X75" i="1"/>
  <c r="AK75" i="1" s="1"/>
  <c r="F76" i="54"/>
  <c r="H29" i="5"/>
  <c r="E31" i="5"/>
  <c r="H31" i="5" s="1"/>
  <c r="X68" i="1"/>
  <c r="AK68" i="1" s="1"/>
  <c r="E71" i="1"/>
  <c r="E24" i="1"/>
  <c r="E47" i="1"/>
  <c r="E65" i="1"/>
  <c r="X43" i="1"/>
  <c r="AK43" i="1" s="1"/>
  <c r="X27" i="1"/>
  <c r="AK27" i="1" s="1"/>
  <c r="E30" i="1"/>
  <c r="F29" i="54"/>
  <c r="X28" i="1"/>
  <c r="AK28" i="1" s="1"/>
  <c r="F47" i="54"/>
  <c r="F39" i="54"/>
  <c r="X38" i="1"/>
  <c r="AK38" i="1" s="1"/>
  <c r="F30" i="54"/>
  <c r="X29" i="1"/>
  <c r="AK29" i="1" s="1"/>
  <c r="F24" i="54"/>
  <c r="X23" i="1"/>
  <c r="AK23" i="1" s="1"/>
  <c r="F64" i="54"/>
  <c r="X63" i="1"/>
  <c r="AK63" i="1" s="1"/>
  <c r="F54" i="54"/>
  <c r="F40" i="54"/>
  <c r="X39" i="1"/>
  <c r="AK39" i="1" s="1"/>
  <c r="F34" i="54"/>
  <c r="X33" i="1"/>
  <c r="AK33" i="1" s="1"/>
  <c r="F22" i="54"/>
  <c r="X21" i="1"/>
  <c r="AK21" i="1" s="1"/>
  <c r="F65" i="54"/>
  <c r="X64" i="1"/>
  <c r="AK64" i="1" s="1"/>
  <c r="F41" i="54"/>
  <c r="X40" i="1"/>
  <c r="AK40" i="1" s="1"/>
  <c r="F35" i="54"/>
  <c r="X34" i="1"/>
  <c r="AK34" i="1" s="1"/>
  <c r="F23" i="54"/>
  <c r="X22" i="1"/>
  <c r="AK22" i="1" s="1"/>
  <c r="F63" i="54"/>
  <c r="X62" i="1"/>
  <c r="AK62" i="1" s="1"/>
  <c r="F16" i="54"/>
  <c r="X15" i="1"/>
  <c r="AK15" i="1" s="1"/>
  <c r="F45" i="54"/>
  <c r="X44" i="1"/>
  <c r="AK44" i="1" s="1"/>
  <c r="F15" i="54"/>
  <c r="F56" i="54"/>
  <c r="U47" i="1"/>
  <c r="F69" i="54"/>
  <c r="R71" i="1"/>
  <c r="F71" i="54"/>
  <c r="E66" i="5"/>
  <c r="E48" i="5"/>
  <c r="H48" i="5" s="1"/>
  <c r="E18" i="5"/>
  <c r="H18" i="5" s="1"/>
  <c r="H17" i="5"/>
  <c r="E72" i="5"/>
  <c r="H72" i="5" s="1"/>
  <c r="E25" i="5"/>
  <c r="AB47" i="1"/>
  <c r="AB30" i="1"/>
  <c r="K47" i="1"/>
  <c r="AA30" i="1"/>
  <c r="AB36" i="1"/>
  <c r="N47" i="1"/>
  <c r="F70" i="54"/>
  <c r="N30" i="1"/>
  <c r="T47" i="1"/>
  <c r="T48" i="1" s="1"/>
  <c r="Y30" i="1"/>
  <c r="Y65" i="1"/>
  <c r="G36" i="1"/>
  <c r="L30" i="1"/>
  <c r="G30" i="1"/>
  <c r="L36" i="1"/>
  <c r="I36" i="1"/>
  <c r="F30" i="1"/>
  <c r="R36" i="1"/>
  <c r="K36" i="1"/>
  <c r="L47" i="1"/>
  <c r="Q47" i="1"/>
  <c r="W47" i="1"/>
  <c r="O47" i="1"/>
  <c r="P47" i="1"/>
  <c r="AA47" i="1"/>
  <c r="T71" i="1"/>
  <c r="P65" i="1"/>
  <c r="L65" i="1"/>
  <c r="H65" i="1"/>
  <c r="R30" i="1"/>
  <c r="I30" i="1"/>
  <c r="Z30" i="1"/>
  <c r="L71" i="1"/>
  <c r="H71" i="1"/>
  <c r="E36" i="1"/>
  <c r="F47" i="1"/>
  <c r="F36" i="1"/>
  <c r="H47" i="1"/>
  <c r="H36" i="1"/>
  <c r="K30" i="1"/>
  <c r="N36" i="1"/>
  <c r="AA71" i="1"/>
  <c r="P71" i="1"/>
  <c r="O65" i="1"/>
  <c r="W71" i="1"/>
  <c r="N71" i="1"/>
  <c r="U36" i="1"/>
  <c r="Y71" i="1"/>
  <c r="U71" i="1"/>
  <c r="W65" i="1"/>
  <c r="Q71" i="1"/>
  <c r="K71" i="1"/>
  <c r="R65" i="1"/>
  <c r="F65" i="1"/>
  <c r="E37" i="5"/>
  <c r="H37" i="5" s="1"/>
  <c r="U30" i="1"/>
  <c r="H30" i="1"/>
  <c r="AA65" i="1"/>
  <c r="U65" i="1"/>
  <c r="Q65" i="1"/>
  <c r="AB71" i="1"/>
  <c r="F71" i="1"/>
  <c r="R47" i="1"/>
  <c r="Y47" i="1"/>
  <c r="Z65" i="1"/>
  <c r="T65" i="1"/>
  <c r="O71" i="1"/>
  <c r="N65" i="1"/>
  <c r="K65" i="1"/>
  <c r="AB65" i="1"/>
  <c r="I71" i="1"/>
  <c r="G71" i="1"/>
  <c r="G47" i="1"/>
  <c r="I47" i="1"/>
  <c r="Z71" i="1"/>
  <c r="I65" i="1"/>
  <c r="G65" i="1"/>
  <c r="E16" i="1"/>
  <c r="AK65" i="1" l="1"/>
  <c r="AK71" i="1"/>
  <c r="AS68" i="1"/>
  <c r="AV68" i="1" s="1"/>
  <c r="AK72" i="1"/>
  <c r="AK74" i="1" s="1"/>
  <c r="U72" i="1"/>
  <c r="U74" i="1" s="1"/>
  <c r="U81" i="1" s="1"/>
  <c r="G31" i="69" s="1"/>
  <c r="E86" i="1"/>
  <c r="AB72" i="1"/>
  <c r="AB74" i="1" s="1"/>
  <c r="I72" i="1"/>
  <c r="Q72" i="1"/>
  <c r="AA72" i="1"/>
  <c r="N72" i="1"/>
  <c r="N74" i="1" s="1"/>
  <c r="K72" i="1"/>
  <c r="K74" i="1" s="1"/>
  <c r="R72" i="1"/>
  <c r="R74" i="1" s="1"/>
  <c r="T72" i="1"/>
  <c r="T74" i="1" s="1"/>
  <c r="W72" i="1"/>
  <c r="G72" i="1"/>
  <c r="G74" i="1" s="1"/>
  <c r="G81" i="1" s="1"/>
  <c r="E72" i="1"/>
  <c r="E74" i="1" s="1"/>
  <c r="E81" i="1" s="1"/>
  <c r="O72" i="1"/>
  <c r="L72" i="1"/>
  <c r="H72" i="1"/>
  <c r="F72" i="1"/>
  <c r="P72" i="1"/>
  <c r="Z72" i="1"/>
  <c r="Y72" i="1"/>
  <c r="H66" i="5"/>
  <c r="E73" i="5"/>
  <c r="E75" i="5" s="1"/>
  <c r="E82" i="5" s="1"/>
  <c r="H48" i="1"/>
  <c r="H50" i="1" s="1"/>
  <c r="H53" i="1" s="1"/>
  <c r="H54" i="76" s="1"/>
  <c r="E72" i="76"/>
  <c r="E73" i="76" s="1"/>
  <c r="E31" i="76"/>
  <c r="E48" i="76"/>
  <c r="E17" i="1"/>
  <c r="E17" i="76"/>
  <c r="Q48" i="1"/>
  <c r="Q50" i="1" s="1"/>
  <c r="Q53" i="1" s="1"/>
  <c r="Q54" i="76" s="1"/>
  <c r="K48" i="1"/>
  <c r="K50" i="1" s="1"/>
  <c r="U48" i="1"/>
  <c r="U50" i="1" s="1"/>
  <c r="P48" i="1"/>
  <c r="P50" i="1" s="1"/>
  <c r="O48" i="1"/>
  <c r="O50" i="1" s="1"/>
  <c r="O53" i="1" s="1"/>
  <c r="O54" i="76" s="1"/>
  <c r="F48" i="54"/>
  <c r="F66" i="54"/>
  <c r="I48" i="1"/>
  <c r="I50" i="1" s="1"/>
  <c r="I53" i="1" s="1"/>
  <c r="I54" i="76" s="1"/>
  <c r="F48" i="1"/>
  <c r="F50" i="1" s="1"/>
  <c r="F53" i="1" s="1"/>
  <c r="F54" i="76" s="1"/>
  <c r="L48" i="1"/>
  <c r="L50" i="1" s="1"/>
  <c r="L53" i="1" s="1"/>
  <c r="L54" i="76" s="1"/>
  <c r="N48" i="1"/>
  <c r="N50" i="1" s="1"/>
  <c r="Z48" i="1"/>
  <c r="Z50" i="1" s="1"/>
  <c r="Z53" i="1" s="1"/>
  <c r="Y54" i="76" s="1"/>
  <c r="R48" i="1"/>
  <c r="R50" i="1" s="1"/>
  <c r="G48" i="1"/>
  <c r="W48" i="1"/>
  <c r="W50" i="1" s="1"/>
  <c r="W53" i="1" s="1"/>
  <c r="W54" i="76" s="1"/>
  <c r="Y48" i="1"/>
  <c r="Y50" i="1" s="1"/>
  <c r="Y53" i="1" s="1"/>
  <c r="X54" i="76" s="1"/>
  <c r="AA48" i="1"/>
  <c r="AA50" i="1" s="1"/>
  <c r="AB48" i="1"/>
  <c r="AB50" i="1" s="1"/>
  <c r="X47" i="1"/>
  <c r="X36" i="1"/>
  <c r="F31" i="54"/>
  <c r="F37" i="54"/>
  <c r="F72" i="54"/>
  <c r="F25" i="54"/>
  <c r="E49" i="5"/>
  <c r="E51" i="5" s="1"/>
  <c r="E59" i="5" s="1"/>
  <c r="E48" i="1"/>
  <c r="X24" i="1"/>
  <c r="X16" i="1"/>
  <c r="AK16" i="1" s="1"/>
  <c r="H25" i="5"/>
  <c r="T50" i="1"/>
  <c r="T53" i="1" s="1"/>
  <c r="T54" i="76" s="1"/>
  <c r="F17" i="54"/>
  <c r="F18" i="54" s="1"/>
  <c r="H15" i="54" l="1"/>
  <c r="F15" i="77" s="1"/>
  <c r="E24" i="3"/>
  <c r="F27" i="75" s="1"/>
  <c r="G27" i="75" s="1"/>
  <c r="E10" i="3"/>
  <c r="F13" i="75" s="1"/>
  <c r="G13" i="75" s="1"/>
  <c r="G13" i="69"/>
  <c r="F73" i="54"/>
  <c r="F75" i="54" s="1"/>
  <c r="F81" i="54" s="1"/>
  <c r="E75" i="76"/>
  <c r="E82" i="76" s="1"/>
  <c r="X17" i="1"/>
  <c r="E49" i="76"/>
  <c r="E18" i="76"/>
  <c r="T81" i="1"/>
  <c r="E23" i="3" s="1"/>
  <c r="F26" i="75" s="1"/>
  <c r="G26" i="75" s="1"/>
  <c r="R81" i="1"/>
  <c r="AB81" i="1"/>
  <c r="N81" i="1"/>
  <c r="G24" i="69" s="1"/>
  <c r="K81" i="1"/>
  <c r="H82" i="5"/>
  <c r="Z74" i="1"/>
  <c r="I74" i="1"/>
  <c r="L74" i="1"/>
  <c r="O74" i="1"/>
  <c r="F74" i="1"/>
  <c r="Q74" i="1"/>
  <c r="P53" i="1"/>
  <c r="P54" i="76" s="1"/>
  <c r="P74" i="1"/>
  <c r="P81" i="1" s="1"/>
  <c r="AA74" i="1"/>
  <c r="AA81" i="1" s="1"/>
  <c r="Y74" i="1"/>
  <c r="H74" i="1"/>
  <c r="H81" i="1" s="1"/>
  <c r="E11" i="3" s="1"/>
  <c r="F14" i="75" s="1"/>
  <c r="G14" i="75" s="1"/>
  <c r="W74" i="1"/>
  <c r="W81" i="1" s="1"/>
  <c r="F49" i="54"/>
  <c r="F51" i="54" s="1"/>
  <c r="F59" i="54" s="1"/>
  <c r="AA53" i="1"/>
  <c r="Z54" i="76" s="1"/>
  <c r="AB53" i="1"/>
  <c r="AA54" i="76" s="1"/>
  <c r="R53" i="1"/>
  <c r="R54" i="76" s="1"/>
  <c r="K53" i="1"/>
  <c r="K54" i="76" s="1"/>
  <c r="M54" i="76"/>
  <c r="H51" i="5"/>
  <c r="X71" i="1"/>
  <c r="X30" i="1"/>
  <c r="X48" i="1" s="1"/>
  <c r="H49" i="5"/>
  <c r="X65" i="1"/>
  <c r="G50" i="1"/>
  <c r="G11" i="69"/>
  <c r="E8" i="3"/>
  <c r="E11" i="75" s="1"/>
  <c r="E50" i="75" s="1"/>
  <c r="E50" i="1"/>
  <c r="H15" i="77" l="1"/>
  <c r="G33" i="69"/>
  <c r="G26" i="69"/>
  <c r="E17" i="3"/>
  <c r="F20" i="75" s="1"/>
  <c r="G20" i="75" s="1"/>
  <c r="E21" i="3"/>
  <c r="F24" i="75" s="1"/>
  <c r="G24" i="75" s="1"/>
  <c r="X72" i="1"/>
  <c r="X74" i="1" s="1"/>
  <c r="X81" i="1" s="1"/>
  <c r="E33" i="3"/>
  <c r="F33" i="75" s="1"/>
  <c r="G33" i="75" s="1"/>
  <c r="G42" i="69"/>
  <c r="G21" i="69"/>
  <c r="E14" i="3"/>
  <c r="F17" i="75" s="1"/>
  <c r="G17" i="75" s="1"/>
  <c r="G28" i="69"/>
  <c r="E26" i="3"/>
  <c r="F29" i="75" s="1"/>
  <c r="G29" i="75" s="1"/>
  <c r="G23" i="69"/>
  <c r="E19" i="3"/>
  <c r="F22" i="75" s="1"/>
  <c r="G22" i="75" s="1"/>
  <c r="E51" i="76"/>
  <c r="E59" i="76" s="1"/>
  <c r="G30" i="69"/>
  <c r="G14" i="69"/>
  <c r="E16" i="3"/>
  <c r="F19" i="75" s="1"/>
  <c r="G19" i="75" s="1"/>
  <c r="G53" i="1"/>
  <c r="G54" i="76" s="1"/>
  <c r="Y81" i="1"/>
  <c r="O81" i="1"/>
  <c r="E18" i="3" s="1"/>
  <c r="F21" i="75" s="1"/>
  <c r="G21" i="75" s="1"/>
  <c r="Z81" i="1"/>
  <c r="I81" i="1"/>
  <c r="L81" i="1"/>
  <c r="Q81" i="1"/>
  <c r="F81" i="1"/>
  <c r="E32" i="3"/>
  <c r="F32" i="75" s="1"/>
  <c r="G32" i="75" s="1"/>
  <c r="G41" i="69"/>
  <c r="X50" i="1"/>
  <c r="E58" i="1"/>
  <c r="E82" i="1" s="1"/>
  <c r="G11" i="75"/>
  <c r="G15" i="77" l="1"/>
  <c r="G15" i="54"/>
  <c r="G25" i="69"/>
  <c r="G19" i="69"/>
  <c r="E20" i="3"/>
  <c r="F23" i="75" s="1"/>
  <c r="E30" i="3"/>
  <c r="F30" i="75" s="1"/>
  <c r="G22" i="69"/>
  <c r="E12" i="3"/>
  <c r="F15" i="75" s="1"/>
  <c r="G27" i="69"/>
  <c r="N58" i="1"/>
  <c r="E15" i="3"/>
  <c r="F18" i="75" s="1"/>
  <c r="E31" i="3"/>
  <c r="F31" i="75" s="1"/>
  <c r="G40" i="69"/>
  <c r="G39" i="69"/>
  <c r="G12" i="69"/>
  <c r="E9" i="3"/>
  <c r="F12" i="75" s="1"/>
  <c r="D17" i="69"/>
  <c r="H59" i="5"/>
  <c r="E84" i="5"/>
  <c r="F11" i="69"/>
  <c r="I11" i="69" s="1"/>
  <c r="D8" i="3"/>
  <c r="F82" i="54"/>
  <c r="H11" i="69" l="1"/>
  <c r="G30" i="75"/>
  <c r="G18" i="75"/>
  <c r="G15" i="75"/>
  <c r="G31" i="75"/>
  <c r="G23" i="75"/>
  <c r="G12" i="75"/>
  <c r="D17" i="3"/>
  <c r="F24" i="69"/>
  <c r="I24" i="69" s="1"/>
  <c r="G17" i="69"/>
  <c r="G35" i="69" s="1"/>
  <c r="F50" i="75"/>
  <c r="E28" i="3"/>
  <c r="E52" i="3" s="1"/>
  <c r="E63" i="3" s="1"/>
  <c r="D35" i="69"/>
  <c r="D61" i="69" s="1"/>
  <c r="G61" i="69" l="1"/>
  <c r="G62" i="69" s="1"/>
  <c r="G69" i="69"/>
  <c r="J11" i="69"/>
  <c r="H24" i="69"/>
  <c r="J24" i="69" s="1"/>
  <c r="G50" i="75"/>
  <c r="C17" i="69"/>
  <c r="C35" i="69" s="1"/>
  <c r="C61" i="69" s="1"/>
  <c r="H28" i="3" l="1"/>
  <c r="AS15" i="1" l="1"/>
  <c r="AV15" i="1" s="1"/>
  <c r="AS64" i="1"/>
  <c r="AV64" i="1" s="1"/>
  <c r="AS34" i="1"/>
  <c r="AV34" i="1" s="1"/>
  <c r="AS22" i="1"/>
  <c r="AV22" i="1" s="1"/>
  <c r="AS45" i="1"/>
  <c r="AV45" i="1" s="1"/>
  <c r="AS70" i="1"/>
  <c r="AV70" i="1" s="1"/>
  <c r="AS35" i="1"/>
  <c r="AV35" i="1" s="1"/>
  <c r="AS78" i="1"/>
  <c r="AV78" i="1" s="1"/>
  <c r="AS46" i="1"/>
  <c r="AV46" i="1" s="1"/>
  <c r="AS40" i="1"/>
  <c r="AV40" i="1" s="1"/>
  <c r="AS38" i="1"/>
  <c r="AV38" i="1" s="1"/>
  <c r="AS75" i="1"/>
  <c r="AV75" i="1" s="1"/>
  <c r="AS27" i="1"/>
  <c r="AV27" i="1" s="1"/>
  <c r="AS56" i="1"/>
  <c r="AV56" i="1" s="1"/>
  <c r="AS28" i="1"/>
  <c r="AV28" i="1" s="1"/>
  <c r="AS44" i="1"/>
  <c r="AV44" i="1" s="1"/>
  <c r="AS16" i="1"/>
  <c r="AV16" i="1" s="1"/>
  <c r="AS21" i="1"/>
  <c r="AV21" i="1" s="1"/>
  <c r="AS23" i="1"/>
  <c r="AV23" i="1" s="1"/>
  <c r="AS55" i="1"/>
  <c r="AV55" i="1" s="1"/>
  <c r="AS39" i="1"/>
  <c r="AV39" i="1" s="1"/>
  <c r="AS69" i="1"/>
  <c r="AV69" i="1" s="1"/>
  <c r="AS73" i="1"/>
  <c r="AV73" i="1" s="1"/>
  <c r="AS29" i="1"/>
  <c r="AV29" i="1" s="1"/>
  <c r="AS43" i="1"/>
  <c r="AV43" i="1" s="1"/>
  <c r="AS62" i="1"/>
  <c r="AV62" i="1" s="1"/>
  <c r="AS76" i="1" l="1"/>
  <c r="AV76" i="1" s="1"/>
  <c r="AK81" i="1"/>
  <c r="G70" i="69" s="1"/>
  <c r="AS77" i="1"/>
  <c r="AV77" i="1" s="1"/>
  <c r="AS33" i="1"/>
  <c r="H28" i="54"/>
  <c r="F28" i="77" s="1"/>
  <c r="H29" i="54"/>
  <c r="F29" i="77" s="1"/>
  <c r="H23" i="54"/>
  <c r="F23" i="77" s="1"/>
  <c r="H17" i="54"/>
  <c r="F17" i="77" s="1"/>
  <c r="AS63" i="1"/>
  <c r="AS71" i="1"/>
  <c r="AS24" i="1"/>
  <c r="H22" i="54"/>
  <c r="AS47" i="1"/>
  <c r="AS17" i="1"/>
  <c r="AS30" i="1"/>
  <c r="AK36" i="1"/>
  <c r="AK47" i="1"/>
  <c r="AK24" i="1"/>
  <c r="AK30" i="1"/>
  <c r="AK17" i="1"/>
  <c r="AS36" i="1" l="1"/>
  <c r="AV33" i="1"/>
  <c r="AS65" i="1"/>
  <c r="AV63" i="1"/>
  <c r="H63" i="54"/>
  <c r="F63" i="77" s="1"/>
  <c r="G22" i="54"/>
  <c r="F22" i="77"/>
  <c r="H23" i="77"/>
  <c r="H29" i="77"/>
  <c r="H30" i="54"/>
  <c r="F30" i="77" s="1"/>
  <c r="F31" i="77" s="1"/>
  <c r="H16" i="54"/>
  <c r="AS48" i="1"/>
  <c r="AS50" i="1" s="1"/>
  <c r="AS72" i="1"/>
  <c r="AK48" i="1"/>
  <c r="AK50" i="1" s="1"/>
  <c r="F26" i="55" l="1"/>
  <c r="F16" i="77"/>
  <c r="F18" i="77" s="1"/>
  <c r="H17" i="77"/>
  <c r="K23" i="77"/>
  <c r="G23" i="77"/>
  <c r="H30" i="77"/>
  <c r="K29" i="77"/>
  <c r="G29" i="77"/>
  <c r="AS74" i="1"/>
  <c r="H46" i="54"/>
  <c r="F46" i="77" s="1"/>
  <c r="H77" i="54"/>
  <c r="H57" i="54"/>
  <c r="F57" i="77" s="1"/>
  <c r="H45" i="54"/>
  <c r="F45" i="77" s="1"/>
  <c r="H76" i="54"/>
  <c r="F76" i="77" s="1"/>
  <c r="H24" i="54"/>
  <c r="F24" i="77" s="1"/>
  <c r="H65" i="54"/>
  <c r="F65" i="77" s="1"/>
  <c r="H74" i="54"/>
  <c r="H35" i="54"/>
  <c r="H44" i="54"/>
  <c r="F44" i="77" s="1"/>
  <c r="H39" i="54"/>
  <c r="H41" i="54"/>
  <c r="H47" i="54"/>
  <c r="F47" i="77" s="1"/>
  <c r="H70" i="54"/>
  <c r="H40" i="54"/>
  <c r="F40" i="77" s="1"/>
  <c r="H78" i="54"/>
  <c r="F78" i="77" s="1"/>
  <c r="H36" i="54"/>
  <c r="H69" i="54"/>
  <c r="H79" i="54"/>
  <c r="F79" i="77" s="1"/>
  <c r="H56" i="54"/>
  <c r="F56" i="77" s="1"/>
  <c r="H71" i="54"/>
  <c r="AV71" i="1"/>
  <c r="J29" i="54"/>
  <c r="AV24" i="1"/>
  <c r="AV17" i="1"/>
  <c r="AV30" i="1"/>
  <c r="AV47" i="1"/>
  <c r="H52" i="3"/>
  <c r="AS81" i="1" l="1"/>
  <c r="AV74" i="1"/>
  <c r="H47" i="77"/>
  <c r="K30" i="77"/>
  <c r="G30" i="77"/>
  <c r="G69" i="54"/>
  <c r="F69" i="77"/>
  <c r="H16" i="77"/>
  <c r="G39" i="54"/>
  <c r="F39" i="77"/>
  <c r="H77" i="77"/>
  <c r="H56" i="77"/>
  <c r="H79" i="77"/>
  <c r="H36" i="77"/>
  <c r="H40" i="77"/>
  <c r="H41" i="77"/>
  <c r="J74" i="54"/>
  <c r="F74" i="77"/>
  <c r="G77" i="54"/>
  <c r="F77" i="77"/>
  <c r="H39" i="77"/>
  <c r="J35" i="54"/>
  <c r="F35" i="77"/>
  <c r="K17" i="77"/>
  <c r="G17" i="77"/>
  <c r="G71" i="54"/>
  <c r="F71" i="77"/>
  <c r="H28" i="77"/>
  <c r="H22" i="77"/>
  <c r="G36" i="54"/>
  <c r="F36" i="77"/>
  <c r="G70" i="54"/>
  <c r="F70" i="77"/>
  <c r="F48" i="77"/>
  <c r="H76" i="77"/>
  <c r="H57" i="77"/>
  <c r="H46" i="77"/>
  <c r="H78" i="77"/>
  <c r="H74" i="77"/>
  <c r="H71" i="77"/>
  <c r="H65" i="77"/>
  <c r="H63" i="77"/>
  <c r="H45" i="77"/>
  <c r="AV36" i="1"/>
  <c r="AV48" i="1" s="1"/>
  <c r="AV50" i="1" s="1"/>
  <c r="H34" i="54"/>
  <c r="AV65" i="1"/>
  <c r="AV72" i="1" s="1"/>
  <c r="H64" i="54"/>
  <c r="G29" i="54"/>
  <c r="J71" i="54"/>
  <c r="J77" i="54"/>
  <c r="J79" i="54"/>
  <c r="G79" i="54"/>
  <c r="J70" i="54"/>
  <c r="H72" i="54"/>
  <c r="J69" i="54"/>
  <c r="G35" i="54"/>
  <c r="H31" i="54"/>
  <c r="G74" i="54"/>
  <c r="J65" i="54"/>
  <c r="G65" i="54"/>
  <c r="J56" i="54"/>
  <c r="G56" i="54"/>
  <c r="G28" i="54"/>
  <c r="J28" i="54"/>
  <c r="J24" i="54"/>
  <c r="G24" i="54"/>
  <c r="G76" i="54"/>
  <c r="J76" i="54"/>
  <c r="J41" i="54"/>
  <c r="G41" i="54"/>
  <c r="J17" i="54"/>
  <c r="G17" i="54"/>
  <c r="G23" i="54"/>
  <c r="J23" i="54"/>
  <c r="J57" i="54"/>
  <c r="G57" i="54"/>
  <c r="H25" i="54"/>
  <c r="F25" i="77" s="1"/>
  <c r="J22" i="54"/>
  <c r="J78" i="54"/>
  <c r="G78" i="54"/>
  <c r="G63" i="54"/>
  <c r="J63" i="54"/>
  <c r="J16" i="54"/>
  <c r="G16" i="54"/>
  <c r="H18" i="54"/>
  <c r="G40" i="54"/>
  <c r="J40" i="54"/>
  <c r="G47" i="54"/>
  <c r="J47" i="54"/>
  <c r="J30" i="54"/>
  <c r="G30" i="54"/>
  <c r="G72" i="54"/>
  <c r="G46" i="54"/>
  <c r="J46" i="54"/>
  <c r="G45" i="54"/>
  <c r="J45" i="54"/>
  <c r="G44" i="54"/>
  <c r="H48" i="54"/>
  <c r="G39" i="77" l="1"/>
  <c r="K40" i="77"/>
  <c r="G40" i="77"/>
  <c r="K79" i="77"/>
  <c r="G79" i="77"/>
  <c r="K77" i="77"/>
  <c r="G77" i="77"/>
  <c r="G64" i="54"/>
  <c r="G66" i="54" s="1"/>
  <c r="G73" i="54" s="1"/>
  <c r="F64" i="77"/>
  <c r="F66" i="77" s="1"/>
  <c r="K22" i="77"/>
  <c r="G22" i="77"/>
  <c r="K46" i="77"/>
  <c r="G46" i="77"/>
  <c r="K76" i="77"/>
  <c r="G76" i="77"/>
  <c r="K41" i="77"/>
  <c r="G41" i="77"/>
  <c r="G36" i="77"/>
  <c r="K56" i="77"/>
  <c r="G56" i="77"/>
  <c r="F72" i="77"/>
  <c r="K47" i="77"/>
  <c r="G47" i="77"/>
  <c r="H34" i="77"/>
  <c r="K57" i="77"/>
  <c r="G57" i="77"/>
  <c r="K16" i="77"/>
  <c r="G16" i="77"/>
  <c r="G18" i="77" s="1"/>
  <c r="H18" i="77"/>
  <c r="J34" i="54"/>
  <c r="F34" i="77"/>
  <c r="F37" i="77" s="1"/>
  <c r="F49" i="77" s="1"/>
  <c r="F51" i="77" s="1"/>
  <c r="K28" i="77"/>
  <c r="K31" i="77" s="1"/>
  <c r="G28" i="77"/>
  <c r="G31" i="77" s="1"/>
  <c r="H31" i="77"/>
  <c r="K78" i="77"/>
  <c r="G78" i="77"/>
  <c r="K74" i="77"/>
  <c r="G74" i="77"/>
  <c r="K71" i="77"/>
  <c r="G71" i="77"/>
  <c r="H70" i="77"/>
  <c r="H69" i="77"/>
  <c r="K65" i="77"/>
  <c r="G65" i="77"/>
  <c r="K63" i="77"/>
  <c r="G63" i="77"/>
  <c r="K45" i="77"/>
  <c r="G45" i="77"/>
  <c r="H35" i="77"/>
  <c r="H37" i="54"/>
  <c r="H49" i="54" s="1"/>
  <c r="H51" i="54" s="1"/>
  <c r="G34" i="54"/>
  <c r="G37" i="54" s="1"/>
  <c r="H66" i="54"/>
  <c r="H73" i="54" s="1"/>
  <c r="H75" i="54" s="1"/>
  <c r="H81" i="54" s="1"/>
  <c r="J64" i="54"/>
  <c r="J66" i="54" s="1"/>
  <c r="AV81" i="1"/>
  <c r="F12" i="55" s="1"/>
  <c r="J72" i="54"/>
  <c r="J25" i="54"/>
  <c r="G31" i="54"/>
  <c r="J31" i="54"/>
  <c r="G25" i="54"/>
  <c r="G18" i="54"/>
  <c r="G48" i="54"/>
  <c r="H24" i="77" l="1"/>
  <c r="K34" i="77"/>
  <c r="G34" i="77"/>
  <c r="F73" i="77"/>
  <c r="F75" i="77" s="1"/>
  <c r="F81" i="77" s="1"/>
  <c r="H44" i="77"/>
  <c r="K70" i="77"/>
  <c r="G70" i="77"/>
  <c r="K69" i="77"/>
  <c r="G69" i="77"/>
  <c r="H72" i="77"/>
  <c r="H64" i="77"/>
  <c r="K35" i="77"/>
  <c r="G35" i="77"/>
  <c r="H37" i="77"/>
  <c r="G75" i="54"/>
  <c r="G81" i="54" s="1"/>
  <c r="J73" i="54"/>
  <c r="J75" i="54" s="1"/>
  <c r="J81" i="54" s="1"/>
  <c r="G49" i="54"/>
  <c r="G51" i="54" s="1"/>
  <c r="K72" i="77" l="1"/>
  <c r="G37" i="77"/>
  <c r="K24" i="77"/>
  <c r="K25" i="77" s="1"/>
  <c r="G24" i="77"/>
  <c r="G25" i="77" s="1"/>
  <c r="H25" i="77"/>
  <c r="G72" i="77"/>
  <c r="G44" i="77"/>
  <c r="G48" i="77" s="1"/>
  <c r="H48" i="77"/>
  <c r="K64" i="77"/>
  <c r="K66" i="77" s="1"/>
  <c r="K73" i="77" s="1"/>
  <c r="K75" i="77" s="1"/>
  <c r="K81" i="77" s="1"/>
  <c r="G64" i="77"/>
  <c r="G66" i="77" s="1"/>
  <c r="H66" i="77"/>
  <c r="H73" i="77" s="1"/>
  <c r="H75" i="77" s="1"/>
  <c r="H81" i="77" s="1"/>
  <c r="G73" i="77" l="1"/>
  <c r="G75" i="77" s="1"/>
  <c r="G81" i="77" s="1"/>
  <c r="G49" i="77"/>
  <c r="G51" i="77" s="1"/>
  <c r="H49" i="77"/>
  <c r="H51" i="77" s="1"/>
  <c r="A19" i="69"/>
  <c r="A12" i="3"/>
  <c r="A15" i="75" s="1"/>
  <c r="A13" i="3" l="1"/>
  <c r="A16" i="75" s="1"/>
  <c r="A20" i="69"/>
  <c r="A21" i="69" l="1"/>
  <c r="A14" i="3"/>
  <c r="A17" i="75" s="1"/>
  <c r="A22" i="69" l="1"/>
  <c r="A15" i="3"/>
  <c r="A18" i="75" s="1"/>
  <c r="A23" i="69" l="1"/>
  <c r="A16" i="3"/>
  <c r="A19" i="75" s="1"/>
  <c r="A24" i="69" l="1"/>
  <c r="A17" i="3"/>
  <c r="A20" i="75" s="1"/>
  <c r="A25" i="69" l="1"/>
  <c r="A18" i="3"/>
  <c r="A21" i="75" s="1"/>
  <c r="A26" i="69" l="1"/>
  <c r="A19" i="3"/>
  <c r="A22" i="75" s="1"/>
  <c r="A27" i="69" l="1"/>
  <c r="A20" i="3"/>
  <c r="A23" i="75" s="1"/>
  <c r="A21" i="3" l="1"/>
  <c r="A24" i="75" s="1"/>
  <c r="A28" i="69"/>
  <c r="A23" i="3" l="1"/>
  <c r="A26" i="75" s="1"/>
  <c r="A30" i="69"/>
  <c r="A32" i="69" l="1"/>
  <c r="A25" i="3"/>
  <c r="A28" i="75" s="1"/>
  <c r="A31" i="69" l="1"/>
  <c r="E8" i="75"/>
  <c r="A24" i="3"/>
  <c r="A27" i="75" s="1"/>
  <c r="A26" i="3" l="1"/>
  <c r="A29" i="75" s="1"/>
  <c r="O14" i="55" l="1"/>
  <c r="R54" i="1" s="1"/>
  <c r="E85" i="1" l="1"/>
  <c r="G54" i="1"/>
  <c r="G55" i="76" s="1"/>
  <c r="G59" i="76" s="1"/>
  <c r="AR54" i="1"/>
  <c r="AI54" i="1"/>
  <c r="AI58" i="1" s="1"/>
  <c r="AF54" i="1"/>
  <c r="AE55" i="76" s="1"/>
  <c r="AE59" i="76" s="1"/>
  <c r="AO54" i="1"/>
  <c r="AO58" i="1" s="1"/>
  <c r="O54" i="1"/>
  <c r="O58" i="1" s="1"/>
  <c r="I54" i="1"/>
  <c r="I55" i="76" s="1"/>
  <c r="I59" i="76" s="1"/>
  <c r="AN54" i="1"/>
  <c r="AK55" i="76" s="1"/>
  <c r="AK59" i="76" s="1"/>
  <c r="AM54" i="1"/>
  <c r="AJ55" i="76" s="1"/>
  <c r="AJ59" i="76" s="1"/>
  <c r="AA54" i="1"/>
  <c r="AA58" i="1" s="1"/>
  <c r="Q54" i="1"/>
  <c r="Q58" i="1" s="1"/>
  <c r="L54" i="1"/>
  <c r="L55" i="76" s="1"/>
  <c r="L59" i="76" s="1"/>
  <c r="W54" i="1"/>
  <c r="W58" i="1" s="1"/>
  <c r="F14" i="55"/>
  <c r="F16" i="55" s="1"/>
  <c r="AQ54" i="1"/>
  <c r="AQ58" i="1" s="1"/>
  <c r="J54" i="1"/>
  <c r="J55" i="76" s="1"/>
  <c r="J59" i="76" s="1"/>
  <c r="K54" i="1"/>
  <c r="K58" i="1" s="1"/>
  <c r="AP54" i="1"/>
  <c r="M54" i="1"/>
  <c r="M55" i="76" s="1"/>
  <c r="M59" i="76" s="1"/>
  <c r="AB54" i="1"/>
  <c r="Y54" i="1"/>
  <c r="Y58" i="1" s="1"/>
  <c r="AE54" i="1"/>
  <c r="AD55" i="76" s="1"/>
  <c r="AD59" i="76" s="1"/>
  <c r="AH54" i="1"/>
  <c r="AH58" i="1" s="1"/>
  <c r="H54" i="1"/>
  <c r="H55" i="76" s="1"/>
  <c r="H59" i="76" s="1"/>
  <c r="S54" i="1"/>
  <c r="S55" i="76" s="1"/>
  <c r="S59" i="76" s="1"/>
  <c r="AD54" i="1"/>
  <c r="AD58" i="1" s="1"/>
  <c r="V54" i="1"/>
  <c r="V58" i="1" s="1"/>
  <c r="E54" i="75"/>
  <c r="I47" i="75" s="1"/>
  <c r="T54" i="1"/>
  <c r="T55" i="76" s="1"/>
  <c r="T59" i="76" s="1"/>
  <c r="Z54" i="1"/>
  <c r="Y55" i="76" s="1"/>
  <c r="Y59" i="76" s="1"/>
  <c r="AG54" i="1"/>
  <c r="F54" i="1"/>
  <c r="F58" i="1" s="1"/>
  <c r="P54" i="1"/>
  <c r="AL54" i="1"/>
  <c r="AL58" i="1" s="1"/>
  <c r="F52" i="69" s="1"/>
  <c r="I52" i="69" s="1"/>
  <c r="AC54" i="1"/>
  <c r="AB55" i="76" s="1"/>
  <c r="AB59" i="76" s="1"/>
  <c r="R55" i="76"/>
  <c r="R59" i="76" s="1"/>
  <c r="R58" i="1"/>
  <c r="H52" i="69" l="1"/>
  <c r="J52" i="69" s="1"/>
  <c r="AF55" i="76"/>
  <c r="AF59" i="76" s="1"/>
  <c r="N88" i="1"/>
  <c r="N89" i="1" s="1"/>
  <c r="N83" i="1" s="1"/>
  <c r="E88" i="1"/>
  <c r="E89" i="1" s="1"/>
  <c r="E83" i="1" s="1"/>
  <c r="G58" i="1"/>
  <c r="F13" i="69" s="1"/>
  <c r="I13" i="69" s="1"/>
  <c r="I17" i="75"/>
  <c r="I45" i="75"/>
  <c r="I29" i="75"/>
  <c r="I31" i="75"/>
  <c r="I43" i="75"/>
  <c r="I42" i="75"/>
  <c r="I30" i="75"/>
  <c r="I23" i="75"/>
  <c r="I12" i="75"/>
  <c r="I15" i="75"/>
  <c r="I46" i="75"/>
  <c r="I40" i="75"/>
  <c r="AG55" i="76"/>
  <c r="AG59" i="76" s="1"/>
  <c r="I34" i="75"/>
  <c r="I25" i="75"/>
  <c r="I44" i="75"/>
  <c r="Q55" i="76"/>
  <c r="Q59" i="76" s="1"/>
  <c r="AO55" i="76"/>
  <c r="AO59" i="76" s="1"/>
  <c r="AR58" i="1"/>
  <c r="F58" i="69" s="1"/>
  <c r="I58" i="69" s="1"/>
  <c r="E56" i="75"/>
  <c r="E60" i="75" s="1"/>
  <c r="I22" i="75"/>
  <c r="I13" i="75"/>
  <c r="I41" i="75"/>
  <c r="I39" i="75"/>
  <c r="I32" i="75"/>
  <c r="I27" i="75"/>
  <c r="AH55" i="76"/>
  <c r="AH59" i="76" s="1"/>
  <c r="AN55" i="76"/>
  <c r="AN59" i="76" s="1"/>
  <c r="D56" i="3"/>
  <c r="AC58" i="1"/>
  <c r="AC88" i="1" s="1"/>
  <c r="AC89" i="1" s="1"/>
  <c r="AC83" i="1" s="1"/>
  <c r="AF58" i="1"/>
  <c r="D37" i="3" s="1"/>
  <c r="Z55" i="76"/>
  <c r="Z59" i="76" s="1"/>
  <c r="I58" i="1"/>
  <c r="F19" i="69" s="1"/>
  <c r="I19" i="69" s="1"/>
  <c r="AN58" i="1"/>
  <c r="F54" i="69" s="1"/>
  <c r="I54" i="69" s="1"/>
  <c r="AM58" i="1"/>
  <c r="I21" i="75"/>
  <c r="F54" i="75"/>
  <c r="F56" i="75" s="1"/>
  <c r="F60" i="75" s="1"/>
  <c r="F63" i="75" s="1"/>
  <c r="I20" i="75"/>
  <c r="I26" i="75"/>
  <c r="I35" i="75"/>
  <c r="I18" i="75"/>
  <c r="I11" i="75"/>
  <c r="I36" i="75"/>
  <c r="I38" i="75"/>
  <c r="I19" i="75"/>
  <c r="L58" i="1"/>
  <c r="D15" i="3" s="1"/>
  <c r="AL55" i="76"/>
  <c r="AL59" i="76" s="1"/>
  <c r="I24" i="75"/>
  <c r="I14" i="75"/>
  <c r="I48" i="75"/>
  <c r="I28" i="75"/>
  <c r="I37" i="75"/>
  <c r="I16" i="75"/>
  <c r="I33" i="75"/>
  <c r="F55" i="76"/>
  <c r="F59" i="76" s="1"/>
  <c r="W55" i="76"/>
  <c r="W59" i="76" s="1"/>
  <c r="O55" i="76"/>
  <c r="O59" i="76" s="1"/>
  <c r="M58" i="1"/>
  <c r="D16" i="3" s="1"/>
  <c r="J58" i="1"/>
  <c r="D13" i="3" s="1"/>
  <c r="AE58" i="1"/>
  <c r="D36" i="3" s="1"/>
  <c r="T58" i="1"/>
  <c r="D23" i="3" s="1"/>
  <c r="S58" i="1"/>
  <c r="D22" i="3" s="1"/>
  <c r="D61" i="3"/>
  <c r="K55" i="76"/>
  <c r="K59" i="76" s="1"/>
  <c r="AG58" i="1"/>
  <c r="F47" i="69" s="1"/>
  <c r="I47" i="69" s="1"/>
  <c r="AM55" i="76"/>
  <c r="AM59" i="76" s="1"/>
  <c r="AP58" i="1"/>
  <c r="V55" i="76"/>
  <c r="V59" i="76" s="1"/>
  <c r="H58" i="1"/>
  <c r="D11" i="3" s="1"/>
  <c r="X55" i="76"/>
  <c r="X59" i="76" s="1"/>
  <c r="X54" i="1"/>
  <c r="AK54" i="1" s="1"/>
  <c r="AI55" i="76"/>
  <c r="AI59" i="76" s="1"/>
  <c r="Z58" i="1"/>
  <c r="D31" i="3" s="1"/>
  <c r="P55" i="76"/>
  <c r="P59" i="76" s="1"/>
  <c r="AA55" i="76"/>
  <c r="AA59" i="76" s="1"/>
  <c r="AB58" i="1"/>
  <c r="AT58" i="1"/>
  <c r="AP55" i="76"/>
  <c r="AP59" i="76" s="1"/>
  <c r="P58" i="1"/>
  <c r="F26" i="69" s="1"/>
  <c r="I26" i="69" s="1"/>
  <c r="AC55" i="76"/>
  <c r="AC59" i="76" s="1"/>
  <c r="D60" i="3"/>
  <c r="D46" i="3"/>
  <c r="F55" i="69"/>
  <c r="I55" i="69" s="1"/>
  <c r="AO88" i="1"/>
  <c r="AO89" i="1" s="1"/>
  <c r="AO83" i="1" s="1"/>
  <c r="D9" i="3"/>
  <c r="F12" i="69"/>
  <c r="I12" i="69" s="1"/>
  <c r="F88" i="1"/>
  <c r="F89" i="1" s="1"/>
  <c r="F83" i="1" s="1"/>
  <c r="D14" i="3"/>
  <c r="F21" i="69"/>
  <c r="I21" i="69" s="1"/>
  <c r="K88" i="1"/>
  <c r="K89" i="1" s="1"/>
  <c r="K83" i="1" s="1"/>
  <c r="D30" i="3"/>
  <c r="F39" i="69"/>
  <c r="I39" i="69" s="1"/>
  <c r="Y88" i="1"/>
  <c r="Y89" i="1" s="1"/>
  <c r="Y83" i="1" s="1"/>
  <c r="M88" i="1"/>
  <c r="M89" i="1" s="1"/>
  <c r="M83" i="1" s="1"/>
  <c r="D25" i="3"/>
  <c r="F32" i="69"/>
  <c r="I32" i="69" s="1"/>
  <c r="V88" i="1"/>
  <c r="V89" i="1" s="1"/>
  <c r="V83" i="1" s="1"/>
  <c r="D58" i="3"/>
  <c r="F41" i="69"/>
  <c r="I41" i="69" s="1"/>
  <c r="D32" i="3"/>
  <c r="AA88" i="1"/>
  <c r="AA89" i="1" s="1"/>
  <c r="AA83" i="1" s="1"/>
  <c r="D39" i="3"/>
  <c r="F48" i="69"/>
  <c r="I48" i="69" s="1"/>
  <c r="AH88" i="1"/>
  <c r="AH89" i="1" s="1"/>
  <c r="AH83" i="1" s="1"/>
  <c r="D26" i="3"/>
  <c r="F33" i="69"/>
  <c r="I33" i="69" s="1"/>
  <c r="W88" i="1"/>
  <c r="W89" i="1" s="1"/>
  <c r="W83" i="1" s="1"/>
  <c r="D40" i="3"/>
  <c r="F49" i="69"/>
  <c r="I49" i="69" s="1"/>
  <c r="AI88" i="1"/>
  <c r="AI89" i="1" s="1"/>
  <c r="AI83" i="1" s="1"/>
  <c r="D48" i="3"/>
  <c r="F57" i="69"/>
  <c r="I57" i="69" s="1"/>
  <c r="AQ88" i="1"/>
  <c r="AQ89" i="1" s="1"/>
  <c r="AQ83" i="1" s="1"/>
  <c r="D55" i="3"/>
  <c r="D18" i="3"/>
  <c r="F25" i="69"/>
  <c r="I25" i="69" s="1"/>
  <c r="O88" i="1"/>
  <c r="O89" i="1" s="1"/>
  <c r="O83" i="1" s="1"/>
  <c r="D43" i="3"/>
  <c r="AL88" i="1"/>
  <c r="AL89" i="1" s="1"/>
  <c r="AL83" i="1" s="1"/>
  <c r="D35" i="3"/>
  <c r="F44" i="69"/>
  <c r="I44" i="69" s="1"/>
  <c r="AD88" i="1"/>
  <c r="AD89" i="1" s="1"/>
  <c r="AD83" i="1" s="1"/>
  <c r="D45" i="3"/>
  <c r="D20" i="3"/>
  <c r="F27" i="69"/>
  <c r="I27" i="69" s="1"/>
  <c r="Q88" i="1"/>
  <c r="Q89" i="1" s="1"/>
  <c r="Q83" i="1" s="1"/>
  <c r="D21" i="3"/>
  <c r="F28" i="69"/>
  <c r="I28" i="69" s="1"/>
  <c r="R88" i="1"/>
  <c r="R89" i="1" s="1"/>
  <c r="R83" i="1" s="1"/>
  <c r="H57" i="69" l="1"/>
  <c r="J57" i="69" s="1"/>
  <c r="H21" i="69"/>
  <c r="J21" i="69" s="1"/>
  <c r="H54" i="69"/>
  <c r="J54" i="69" s="1"/>
  <c r="H48" i="69"/>
  <c r="J48" i="69" s="1"/>
  <c r="H41" i="69"/>
  <c r="J41" i="69" s="1"/>
  <c r="H32" i="69"/>
  <c r="J32" i="69" s="1"/>
  <c r="H39" i="69"/>
  <c r="J39" i="69" s="1"/>
  <c r="H19" i="69"/>
  <c r="J19" i="69" s="1"/>
  <c r="H13" i="69"/>
  <c r="J13" i="69" s="1"/>
  <c r="H58" i="69"/>
  <c r="J58" i="69" s="1"/>
  <c r="H27" i="69"/>
  <c r="J27" i="69" s="1"/>
  <c r="H33" i="69"/>
  <c r="J33" i="69" s="1"/>
  <c r="H55" i="69"/>
  <c r="J55" i="69" s="1"/>
  <c r="H44" i="69"/>
  <c r="J44" i="69" s="1"/>
  <c r="H28" i="69"/>
  <c r="J28" i="69" s="1"/>
  <c r="H25" i="69"/>
  <c r="J25" i="69" s="1"/>
  <c r="H49" i="69"/>
  <c r="J49" i="69" s="1"/>
  <c r="H12" i="69"/>
  <c r="H26" i="69"/>
  <c r="J26" i="69" s="1"/>
  <c r="H47" i="69"/>
  <c r="J47" i="69" s="1"/>
  <c r="AS54" i="1"/>
  <c r="J88" i="1"/>
  <c r="J89" i="1" s="1"/>
  <c r="J83" i="1" s="1"/>
  <c r="D10" i="3"/>
  <c r="G88" i="1"/>
  <c r="G89" i="1" s="1"/>
  <c r="G83" i="1" s="1"/>
  <c r="F53" i="69"/>
  <c r="I53" i="69" s="1"/>
  <c r="F46" i="69"/>
  <c r="I46" i="69" s="1"/>
  <c r="D34" i="3"/>
  <c r="F43" i="69"/>
  <c r="I43" i="69" s="1"/>
  <c r="AN88" i="1"/>
  <c r="AN89" i="1" s="1"/>
  <c r="AN83" i="1" s="1"/>
  <c r="D49" i="3"/>
  <c r="AR88" i="1"/>
  <c r="AR89" i="1" s="1"/>
  <c r="AR83" i="1" s="1"/>
  <c r="D59" i="3"/>
  <c r="I88" i="1"/>
  <c r="I89" i="1" s="1"/>
  <c r="I83" i="1" s="1"/>
  <c r="D44" i="3"/>
  <c r="AF88" i="1"/>
  <c r="AF89" i="1" s="1"/>
  <c r="AF83" i="1" s="1"/>
  <c r="S88" i="1"/>
  <c r="S89" i="1" s="1"/>
  <c r="S83" i="1" s="1"/>
  <c r="D12" i="3"/>
  <c r="AM88" i="1"/>
  <c r="AM89" i="1" s="1"/>
  <c r="AM83" i="1" s="1"/>
  <c r="F29" i="69"/>
  <c r="I29" i="69" s="1"/>
  <c r="L88" i="1"/>
  <c r="L89" i="1" s="1"/>
  <c r="L83" i="1" s="1"/>
  <c r="I56" i="75"/>
  <c r="I63" i="75" s="1"/>
  <c r="G56" i="75"/>
  <c r="F22" i="69"/>
  <c r="I22" i="69" s="1"/>
  <c r="F20" i="69"/>
  <c r="I20" i="69" s="1"/>
  <c r="F45" i="69"/>
  <c r="I45" i="69" s="1"/>
  <c r="AE88" i="1"/>
  <c r="AE89" i="1" s="1"/>
  <c r="AE83" i="1" s="1"/>
  <c r="F23" i="69"/>
  <c r="I23" i="69" s="1"/>
  <c r="T88" i="1"/>
  <c r="T89" i="1" s="1"/>
  <c r="T83" i="1" s="1"/>
  <c r="F30" i="69"/>
  <c r="I30" i="69" s="1"/>
  <c r="D57" i="3"/>
  <c r="AP88" i="1"/>
  <c r="AP89" i="1" s="1"/>
  <c r="AP83" i="1" s="1"/>
  <c r="D47" i="3"/>
  <c r="F56" i="69"/>
  <c r="I56" i="69" s="1"/>
  <c r="D38" i="3"/>
  <c r="AG88" i="1"/>
  <c r="AG89" i="1" s="1"/>
  <c r="AG83" i="1" s="1"/>
  <c r="P88" i="1"/>
  <c r="P89" i="1" s="1"/>
  <c r="P83" i="1" s="1"/>
  <c r="F40" i="69"/>
  <c r="I40" i="69" s="1"/>
  <c r="H88" i="1"/>
  <c r="H89" i="1" s="1"/>
  <c r="H83" i="1" s="1"/>
  <c r="F14" i="69"/>
  <c r="I14" i="69" s="1"/>
  <c r="Z88" i="1"/>
  <c r="Z89" i="1" s="1"/>
  <c r="Z83" i="1" s="1"/>
  <c r="AB88" i="1"/>
  <c r="AB89" i="1" s="1"/>
  <c r="AB83" i="1" s="1"/>
  <c r="F42" i="69"/>
  <c r="I42" i="69" s="1"/>
  <c r="D33" i="3"/>
  <c r="AT88" i="1"/>
  <c r="AT89" i="1" s="1"/>
  <c r="AT83" i="1" s="1"/>
  <c r="D50" i="3"/>
  <c r="F59" i="69"/>
  <c r="I59" i="69" s="1"/>
  <c r="D19" i="3"/>
  <c r="E63" i="75"/>
  <c r="G60" i="75"/>
  <c r="AV54" i="1" l="1"/>
  <c r="H56" i="69"/>
  <c r="J56" i="69" s="1"/>
  <c r="H14" i="69"/>
  <c r="J14" i="69" s="1"/>
  <c r="H45" i="69"/>
  <c r="J45" i="69" s="1"/>
  <c r="I17" i="69"/>
  <c r="H59" i="69"/>
  <c r="J59" i="69" s="1"/>
  <c r="H42" i="69"/>
  <c r="J42" i="69" s="1"/>
  <c r="J12" i="69"/>
  <c r="H22" i="69"/>
  <c r="J22" i="69" s="1"/>
  <c r="H29" i="69"/>
  <c r="J29" i="69" s="1"/>
  <c r="H30" i="69"/>
  <c r="J30" i="69" s="1"/>
  <c r="H43" i="69"/>
  <c r="J43" i="69" s="1"/>
  <c r="H40" i="69"/>
  <c r="J40" i="69" s="1"/>
  <c r="H23" i="69"/>
  <c r="J23" i="69" s="1"/>
  <c r="H20" i="69"/>
  <c r="J20" i="69" s="1"/>
  <c r="H46" i="69"/>
  <c r="J46" i="69" s="1"/>
  <c r="H53" i="69"/>
  <c r="J53" i="69" s="1"/>
  <c r="F17" i="69"/>
  <c r="G63" i="75"/>
  <c r="U53" i="1"/>
  <c r="H55" i="77" l="1"/>
  <c r="K55" i="77" s="1"/>
  <c r="H55" i="54"/>
  <c r="H17" i="69"/>
  <c r="J17" i="69"/>
  <c r="U58" i="1"/>
  <c r="X53" i="1"/>
  <c r="AK53" i="1" s="1"/>
  <c r="U54" i="76"/>
  <c r="U59" i="76" s="1"/>
  <c r="J64" i="75"/>
  <c r="F55" i="77" l="1"/>
  <c r="G55" i="77" s="1"/>
  <c r="J55" i="54"/>
  <c r="G55" i="54"/>
  <c r="X58" i="1"/>
  <c r="X88" i="1" s="1"/>
  <c r="X89" i="1" s="1"/>
  <c r="X83" i="1" s="1"/>
  <c r="F31" i="69"/>
  <c r="I31" i="69" s="1"/>
  <c r="D24" i="3"/>
  <c r="D28" i="3" s="1"/>
  <c r="D52" i="3" s="1"/>
  <c r="U88" i="1"/>
  <c r="U89" i="1" s="1"/>
  <c r="U83" i="1" s="1"/>
  <c r="H31" i="69" l="1"/>
  <c r="I35" i="69"/>
  <c r="I61" i="69" s="1"/>
  <c r="AK58" i="1"/>
  <c r="F70" i="69" s="1"/>
  <c r="AS53" i="1"/>
  <c r="AV53" i="1" s="1"/>
  <c r="F35" i="69"/>
  <c r="F52" i="3"/>
  <c r="D63" i="3"/>
  <c r="F63" i="3" s="1"/>
  <c r="I69" i="69" l="1"/>
  <c r="H62" i="69"/>
  <c r="F61" i="69"/>
  <c r="F62" i="69" s="1"/>
  <c r="F69" i="69"/>
  <c r="J31" i="69"/>
  <c r="J35" i="69" s="1"/>
  <c r="J61" i="69" s="1"/>
  <c r="H35" i="69"/>
  <c r="H61" i="69" s="1"/>
  <c r="J67" i="69" s="1"/>
  <c r="AK88" i="1"/>
  <c r="AK89" i="1" s="1"/>
  <c r="AK83" i="1" s="1"/>
  <c r="AS58" i="1"/>
  <c r="AS88" i="1" s="1"/>
  <c r="AS89" i="1" s="1"/>
  <c r="AS83" i="1" s="1"/>
  <c r="I70" i="69" s="1"/>
  <c r="J66" i="69" l="1"/>
  <c r="J68" i="69" s="1"/>
  <c r="H54" i="54" l="1"/>
  <c r="F54" i="77" s="1"/>
  <c r="F59" i="77" s="1"/>
  <c r="F82" i="77" s="1"/>
  <c r="AV58" i="1"/>
  <c r="F18" i="55" s="1"/>
  <c r="AU88" i="1"/>
  <c r="AU89" i="1" s="1"/>
  <c r="AU83" i="1" s="1"/>
  <c r="G54" i="54" l="1"/>
  <c r="G59" i="54" s="1"/>
  <c r="H59" i="54"/>
  <c r="H82" i="54" s="1"/>
  <c r="AV82" i="1"/>
  <c r="AV88" i="1"/>
  <c r="AV89" i="1" s="1"/>
  <c r="AV83" i="1" l="1"/>
  <c r="H54" i="77"/>
  <c r="K12" i="56" l="1"/>
  <c r="G54" i="77"/>
  <c r="G59" i="77" s="1"/>
  <c r="H59" i="77"/>
  <c r="H82" i="77" s="1"/>
  <c r="F20" i="55"/>
  <c r="F24" i="55" s="1"/>
  <c r="F30" i="55" s="1"/>
  <c r="J12" i="56" l="1"/>
  <c r="J15" i="56" s="1"/>
  <c r="I39" i="77" s="1"/>
  <c r="F28" i="55"/>
  <c r="J17" i="56" l="1"/>
  <c r="I44" i="54" s="1"/>
  <c r="I48" i="54" s="1"/>
  <c r="I15" i="54"/>
  <c r="J15" i="54" s="1"/>
  <c r="J18" i="54" s="1"/>
  <c r="I15" i="77"/>
  <c r="I18" i="77" s="1"/>
  <c r="J19" i="56"/>
  <c r="I36" i="77" s="1"/>
  <c r="I39" i="54"/>
  <c r="J39" i="54" s="1"/>
  <c r="I36" i="54"/>
  <c r="J36" i="54" s="1"/>
  <c r="J37" i="54" s="1"/>
  <c r="J21" i="56" l="1"/>
  <c r="J23" i="56" s="1"/>
  <c r="J25" i="56" s="1"/>
  <c r="I54" i="54" s="1"/>
  <c r="J54" i="54" s="1"/>
  <c r="I44" i="77"/>
  <c r="I18" i="54"/>
  <c r="K15" i="56"/>
  <c r="I37" i="54"/>
  <c r="I49" i="54" s="1"/>
  <c r="J44" i="54"/>
  <c r="J48" i="54" s="1"/>
  <c r="J49" i="54" s="1"/>
  <c r="J51" i="54" s="1"/>
  <c r="I37" i="77"/>
  <c r="I48" i="77"/>
  <c r="I54" i="77" l="1"/>
  <c r="J27" i="56"/>
  <c r="J29" i="56" s="1"/>
  <c r="J30" i="56" s="1"/>
  <c r="I51" i="54"/>
  <c r="I59" i="54" s="1"/>
  <c r="J15" i="77"/>
  <c r="J18" i="77" s="1"/>
  <c r="K17" i="56"/>
  <c r="J44" i="77" s="1"/>
  <c r="J48" i="77" s="1"/>
  <c r="K19" i="56"/>
  <c r="J36" i="77" s="1"/>
  <c r="J37" i="77" s="1"/>
  <c r="I49" i="77"/>
  <c r="I51" i="77" s="1"/>
  <c r="J59" i="54"/>
  <c r="J82" i="54" s="1"/>
  <c r="J39" i="77"/>
  <c r="K39" i="77" s="1"/>
  <c r="I59" i="77" l="1"/>
  <c r="K44" i="77"/>
  <c r="K48" i="77" s="1"/>
  <c r="K36" i="77"/>
  <c r="K37" i="77" s="1"/>
  <c r="K15" i="77"/>
  <c r="K18" i="77" s="1"/>
  <c r="K21" i="56"/>
  <c r="K23" i="56" s="1"/>
  <c r="K25" i="56" s="1"/>
  <c r="J54" i="77" s="1"/>
  <c r="K54" i="77" s="1"/>
  <c r="J49" i="77"/>
  <c r="J51" i="77" s="1"/>
  <c r="K49" i="77" l="1"/>
  <c r="K51" i="77" s="1"/>
  <c r="K59" i="77" s="1"/>
  <c r="K82" i="77" s="1"/>
  <c r="J59" i="77"/>
  <c r="K27" i="56"/>
  <c r="K29" i="56" s="1"/>
  <c r="K30" i="56" s="1"/>
</calcChain>
</file>

<file path=xl/comments1.xml><?xml version="1.0" encoding="utf-8"?>
<comments xmlns="http://schemas.openxmlformats.org/spreadsheetml/2006/main">
  <authors>
    <author>Huang, Joanna (UTC)</author>
  </authors>
  <commentList>
    <comment ref="F34" authorId="0" shapeId="0">
      <text>
        <r>
          <rPr>
            <b/>
            <sz val="9"/>
            <color indexed="81"/>
            <rFont val="Tahoma"/>
            <family val="2"/>
          </rPr>
          <t>This number is from Christopher H.</t>
        </r>
        <r>
          <rPr>
            <sz val="9"/>
            <color indexed="81"/>
            <rFont val="Tahoma"/>
            <family val="2"/>
          </rPr>
          <t xml:space="preserve">
</t>
        </r>
      </text>
    </comment>
  </commentList>
</comments>
</file>

<file path=xl/comments2.xml><?xml version="1.0" encoding="utf-8"?>
<comments xmlns="http://schemas.openxmlformats.org/spreadsheetml/2006/main">
  <authors>
    <author>Huang, Joanna (UTC)</author>
  </authors>
  <commentList>
    <comment ref="I70" authorId="0" shapeId="0">
      <text>
        <r>
          <rPr>
            <b/>
            <sz val="9"/>
            <color indexed="81"/>
            <rFont val="Tahoma"/>
            <family val="2"/>
          </rPr>
          <t xml:space="preserve">rounding
</t>
        </r>
        <r>
          <rPr>
            <sz val="9"/>
            <color indexed="81"/>
            <rFont val="Tahoma"/>
            <family val="2"/>
          </rPr>
          <t xml:space="preserve">
</t>
        </r>
      </text>
    </comment>
  </commentList>
</comments>
</file>

<file path=xl/comments3.xml><?xml version="1.0" encoding="utf-8"?>
<comments xmlns="http://schemas.openxmlformats.org/spreadsheetml/2006/main">
  <authors>
    <author>rzk7kq</author>
  </authors>
  <commentList>
    <comment ref="B66"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2"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4.xml><?xml version="1.0" encoding="utf-8"?>
<comments xmlns="http://schemas.openxmlformats.org/spreadsheetml/2006/main">
  <authors>
    <author>Avista Corp Employee</author>
  </authors>
  <commentList>
    <comment ref="B101" authorId="0" shapeId="0">
      <text>
        <r>
          <rPr>
            <b/>
            <sz val="8"/>
            <color indexed="81"/>
            <rFont val="Tahoma"/>
            <family val="2"/>
          </rPr>
          <t>5/6/02 - This is revenue from JP Releases</t>
        </r>
      </text>
    </comment>
    <comment ref="J101" authorId="0" shapeId="0">
      <text>
        <r>
          <rPr>
            <b/>
            <sz val="8"/>
            <color indexed="81"/>
            <rFont val="Tahoma"/>
            <family val="2"/>
          </rPr>
          <t>5/6/02 - This is revenue from JP Releases</t>
        </r>
      </text>
    </comment>
  </commentList>
</comments>
</file>

<file path=xl/sharedStrings.xml><?xml version="1.0" encoding="utf-8"?>
<sst xmlns="http://schemas.openxmlformats.org/spreadsheetml/2006/main" count="1355" uniqueCount="597">
  <si>
    <t>Per</t>
  </si>
  <si>
    <t xml:space="preserve">Deferred </t>
  </si>
  <si>
    <t xml:space="preserve">Eliminate </t>
  </si>
  <si>
    <t>Regulatory</t>
  </si>
  <si>
    <t>Injuries</t>
  </si>
  <si>
    <t>Restate</t>
  </si>
  <si>
    <t>Office Space</t>
  </si>
  <si>
    <t>Line</t>
  </si>
  <si>
    <t xml:space="preserve">Results </t>
  </si>
  <si>
    <t>FIT</t>
  </si>
  <si>
    <t xml:space="preserve">B &amp; O </t>
  </si>
  <si>
    <t>Property</t>
  </si>
  <si>
    <t>Expense</t>
  </si>
  <si>
    <t xml:space="preserve">and </t>
  </si>
  <si>
    <t>Debt</t>
  </si>
  <si>
    <t>Charges to</t>
  </si>
  <si>
    <t>Pro Forma</t>
  </si>
  <si>
    <t>No.</t>
  </si>
  <si>
    <t>DESCRIPTION</t>
  </si>
  <si>
    <t>Report</t>
  </si>
  <si>
    <t>Rate Base</t>
  </si>
  <si>
    <t>Adjustment</t>
  </si>
  <si>
    <t>Taxes</t>
  </si>
  <si>
    <t>Tax</t>
  </si>
  <si>
    <t>Damages</t>
  </si>
  <si>
    <t>Interest</t>
  </si>
  <si>
    <t>Subs</t>
  </si>
  <si>
    <t>Total</t>
  </si>
  <si>
    <t>a</t>
  </si>
  <si>
    <t>b</t>
  </si>
  <si>
    <t>c</t>
  </si>
  <si>
    <t>d</t>
  </si>
  <si>
    <t>e</t>
  </si>
  <si>
    <t>f</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</si>
  <si>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</si>
  <si>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</si>
  <si>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</si>
  <si>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</si>
  <si>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</si>
  <si>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</si>
  <si>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</si>
  <si>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</si>
  <si>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</si>
  <si>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</si>
  <si>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</si>
  <si>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</si>
  <si>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</si>
  <si>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</si>
  <si>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</si>
  <si>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</si>
  <si>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</si>
  <si>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</si>
  <si>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</si>
  <si>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</si>
  <si>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</si>
  <si>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</si>
  <si>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</si>
  <si>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</si>
  <si>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</si>
  <si>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</si>
  <si>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</si>
  <si>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</si>
  <si>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RATE BASE: PLANT IN SERVICE</t>
  </si>
  <si>
    <t>Distribution Plant</t>
  </si>
  <si>
    <t>General Plant</t>
  </si>
  <si>
    <t>Total Plant in Service</t>
  </si>
  <si>
    <t>ACCUMULATED DEPRECIATION</t>
  </si>
  <si>
    <t>DEFERRED FIT</t>
  </si>
  <si>
    <t>GAS INVENTORY</t>
  </si>
  <si>
    <t>GAIN ON SALE OF BUILDING</t>
  </si>
  <si>
    <t>TOTAL RATE BASE</t>
  </si>
  <si>
    <t>Washington Gas</t>
  </si>
  <si>
    <t>Column</t>
  </si>
  <si>
    <t>Description</t>
  </si>
  <si>
    <t xml:space="preserve">NOI   </t>
  </si>
  <si>
    <t>ROR</t>
  </si>
  <si>
    <t xml:space="preserve">     Actual </t>
  </si>
  <si>
    <t xml:space="preserve">     Restated Total</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</si>
  <si>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</si>
  <si>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</si>
  <si>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</si>
  <si>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</si>
  <si>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</si>
  <si>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</si>
  <si>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</si>
  <si>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</si>
  <si>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</si>
  <si>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</si>
  <si>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</si>
  <si>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</si>
  <si>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</si>
  <si>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</si>
  <si>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</si>
  <si>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</si>
  <si>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</si>
  <si>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</si>
  <si>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</si>
  <si>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</si>
  <si>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</si>
  <si>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</si>
  <si>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</si>
  <si>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</si>
  <si>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</si>
  <si>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</si>
  <si>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</si>
  <si>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</si>
  <si>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</si>
  <si>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</si>
  <si>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</si>
  <si>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</si>
  <si>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</si>
  <si>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</si>
  <si>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DEFERRED TAXES</t>
  </si>
  <si>
    <t xml:space="preserve"> </t>
  </si>
  <si>
    <t>AVISTA UTILITIES</t>
  </si>
  <si>
    <t>Uncollectible</t>
  </si>
  <si>
    <t>Gas Cost Adjust</t>
  </si>
  <si>
    <t>(000's)</t>
  </si>
  <si>
    <t>Adjustment Description</t>
  </si>
  <si>
    <t>Adjustments</t>
  </si>
  <si>
    <t>Restated Debt Interest</t>
  </si>
  <si>
    <t>Increase (Decrease) in Interest Expense</t>
  </si>
  <si>
    <t>FIT Rate</t>
  </si>
  <si>
    <t>Increase (Decrease) in FIT</t>
  </si>
  <si>
    <t>done</t>
  </si>
  <si>
    <t>not done</t>
  </si>
  <si>
    <t>Liz</t>
  </si>
  <si>
    <t>Weighted Average Cost of Debt</t>
  </si>
  <si>
    <t xml:space="preserve">     Pro Forma Total</t>
  </si>
  <si>
    <t>Restate Debt Interest</t>
  </si>
  <si>
    <t>Theresa</t>
  </si>
  <si>
    <t>Labor</t>
  </si>
  <si>
    <t>Non-Exec</t>
  </si>
  <si>
    <t>Exec</t>
  </si>
  <si>
    <t>Jeanne</t>
  </si>
  <si>
    <t>Net</t>
  </si>
  <si>
    <t>Excise</t>
  </si>
  <si>
    <t xml:space="preserve">Line </t>
  </si>
  <si>
    <t>Capital</t>
  </si>
  <si>
    <t>Weighted</t>
  </si>
  <si>
    <t>Component</t>
  </si>
  <si>
    <t>Structure</t>
  </si>
  <si>
    <t>Cost</t>
  </si>
  <si>
    <t>Proposed Rate of Return</t>
  </si>
  <si>
    <t>Pro Forma Net Operating Income</t>
  </si>
  <si>
    <t>Net Operating Income Deficiency</t>
  </si>
  <si>
    <t>Conversion Factor</t>
  </si>
  <si>
    <t>Revenue Requirement</t>
  </si>
  <si>
    <t>WITH PRESENT RATES</t>
  </si>
  <si>
    <t>Actual Per</t>
  </si>
  <si>
    <t>Proposed</t>
  </si>
  <si>
    <t>Revenues &amp;</t>
  </si>
  <si>
    <t>Related Exp</t>
  </si>
  <si>
    <t>(000's OF DOLLARS)</t>
  </si>
  <si>
    <t>Revenue Conversion Factor</t>
  </si>
  <si>
    <t>Factor</t>
  </si>
  <si>
    <t>Revenues</t>
  </si>
  <si>
    <t>Expense:</t>
  </si>
  <si>
    <t xml:space="preserve">  Uncollectibles  </t>
  </si>
  <si>
    <t xml:space="preserve">  Commission Fees </t>
  </si>
  <si>
    <t xml:space="preserve">  Washington Excise Tax  </t>
  </si>
  <si>
    <t xml:space="preserve">    Total Expense</t>
  </si>
  <si>
    <t>Net Operating Income Before FIT</t>
  </si>
  <si>
    <t xml:space="preserve">  Federal Income Tax @ 35%</t>
  </si>
  <si>
    <t>REVENUE CONVERSION FACTOR</t>
  </si>
  <si>
    <t>WA Wtd Debt</t>
  </si>
  <si>
    <t>All Inputs</t>
  </si>
  <si>
    <t>NOI Requirement</t>
  </si>
  <si>
    <t>Misc</t>
  </si>
  <si>
    <t xml:space="preserve">Karen </t>
  </si>
  <si>
    <t>Employee</t>
  </si>
  <si>
    <t>Benefits</t>
  </si>
  <si>
    <t>Restating</t>
  </si>
  <si>
    <t>FILED CASE</t>
  </si>
  <si>
    <t>REVENUE REQUIREMENT</t>
  </si>
  <si>
    <t>Item</t>
  </si>
  <si>
    <t>Common Equity</t>
  </si>
  <si>
    <t>Liz/Karen</t>
  </si>
  <si>
    <t>Jen</t>
  </si>
  <si>
    <t>NET PLANT</t>
  </si>
  <si>
    <t>Jen/Karen</t>
  </si>
  <si>
    <t>Joe</t>
  </si>
  <si>
    <t xml:space="preserve">WORKING CAPITAL </t>
  </si>
  <si>
    <t>WORKING CAPITAL</t>
  </si>
  <si>
    <t>Atmospheric</t>
  </si>
  <si>
    <t>Testing</t>
  </si>
  <si>
    <t>Incentive</t>
  </si>
  <si>
    <t>Done</t>
  </si>
  <si>
    <t>Not Done</t>
  </si>
  <si>
    <t>Debt Interest</t>
  </si>
  <si>
    <t>Adjsutment Number</t>
  </si>
  <si>
    <t>Workpaper Reference</t>
  </si>
  <si>
    <t>G-ROO</t>
  </si>
  <si>
    <t>G-DFIT</t>
  </si>
  <si>
    <t>G-DDC</t>
  </si>
  <si>
    <t>G-EBO</t>
  </si>
  <si>
    <t>G-UE</t>
  </si>
  <si>
    <t>G-RE</t>
  </si>
  <si>
    <t>G-ID</t>
  </si>
  <si>
    <t>G-FIT</t>
  </si>
  <si>
    <t>G-NGL</t>
  </si>
  <si>
    <t>G-OSC</t>
  </si>
  <si>
    <t>G-MR</t>
  </si>
  <si>
    <t>G-RI</t>
  </si>
  <si>
    <t>G-DI</t>
  </si>
  <si>
    <t>G-PLN</t>
  </si>
  <si>
    <t>G-PLE</t>
  </si>
  <si>
    <t>G-PEB</t>
  </si>
  <si>
    <t>Depreciation/Amortization</t>
  </si>
  <si>
    <t xml:space="preserve">WASHINGTON NATURAL GAS RESULTS </t>
  </si>
  <si>
    <t>ACCUMULATED DEPRECIATION/AMORT</t>
  </si>
  <si>
    <t>Net Plant After DFIT</t>
  </si>
  <si>
    <t>Production Expenses</t>
  </si>
  <si>
    <t>DEFREED TAXES</t>
  </si>
  <si>
    <t xml:space="preserve">Blue = Input </t>
  </si>
  <si>
    <t>Reconciliation</t>
  </si>
  <si>
    <t>FIT Expense</t>
  </si>
  <si>
    <t>Line No. 27</t>
  </si>
  <si>
    <t>ROO</t>
  </si>
  <si>
    <t>TOTAL</t>
  </si>
  <si>
    <t>Below</t>
  </si>
  <si>
    <t>Not Necessary - this calcuation should not be removed from above to determine adj. - LMA</t>
  </si>
  <si>
    <t>Capitalized Interest</t>
  </si>
  <si>
    <t>Equity AFUDC</t>
  </si>
  <si>
    <t>updated for 2006</t>
  </si>
  <si>
    <t>Borrowed AFUDC</t>
  </si>
  <si>
    <t xml:space="preserve">   Capitalized Interest</t>
  </si>
  <si>
    <t>Allocated</t>
  </si>
  <si>
    <t>Amount</t>
  </si>
  <si>
    <t>Percentage</t>
  </si>
  <si>
    <t>Electric CWIP</t>
  </si>
  <si>
    <t>Gas CWIP</t>
  </si>
  <si>
    <t>WPNG CWIP</t>
  </si>
  <si>
    <t xml:space="preserve">   Total</t>
  </si>
  <si>
    <t>WA Electric CWIP</t>
  </si>
  <si>
    <t>ID Electric CWIP</t>
  </si>
  <si>
    <t>WA Gas CWIP</t>
  </si>
  <si>
    <t>ID Gas CWIP</t>
  </si>
  <si>
    <t>Idaho - Electric</t>
  </si>
  <si>
    <t>Restated Rate Base</t>
  </si>
  <si>
    <t>ID excludes STD</t>
  </si>
  <si>
    <t xml:space="preserve"> Interest Per Results (E-FIT-12A)</t>
  </si>
  <si>
    <t>updated for 2007 LMA</t>
  </si>
  <si>
    <t>WP Ref</t>
  </si>
  <si>
    <t>Washington - GAS</t>
  </si>
  <si>
    <t>Interest Per Results (G-FIT-12A)</t>
  </si>
  <si>
    <t>Annette</t>
  </si>
  <si>
    <t>Deferred Debits</t>
  </si>
  <si>
    <t>Credits</t>
  </si>
  <si>
    <t xml:space="preserve">Production Expenses </t>
  </si>
  <si>
    <t xml:space="preserve">   Debt Interest</t>
  </si>
  <si>
    <t>SALES OF GAS:</t>
  </si>
  <si>
    <t>Residential</t>
  </si>
  <si>
    <t>4812XX</t>
  </si>
  <si>
    <t>Commercial - Firm &amp; Interruptible</t>
  </si>
  <si>
    <t>4813XX</t>
  </si>
  <si>
    <t>Industrial-Firm</t>
  </si>
  <si>
    <t>Interruptible</t>
  </si>
  <si>
    <t>499XXX</t>
  </si>
  <si>
    <t>Unbilled Revenue</t>
  </si>
  <si>
    <t>Interdepartmental Revenue</t>
  </si>
  <si>
    <t>TOTAL SALES TO ULTIMATE CUSTOMERS</t>
  </si>
  <si>
    <t>OTHER OPERATING REVENUES:</t>
  </si>
  <si>
    <t>Sales for Resale</t>
  </si>
  <si>
    <t>Miscellaneous Service Revenues</t>
  </si>
  <si>
    <t>Transportation For Others</t>
  </si>
  <si>
    <t>Rent from Gas Property</t>
  </si>
  <si>
    <t>Other Gas Revenues</t>
  </si>
  <si>
    <t>TOTAL OTHER OPERATING REVENUES</t>
  </si>
  <si>
    <t>TOTAL GAS REVENUES</t>
  </si>
  <si>
    <t>PRODUCTION EXPENSES:</t>
  </si>
  <si>
    <t>804/805</t>
  </si>
  <si>
    <t>808XXX</t>
  </si>
  <si>
    <t>Net Natural Gas Storage Transactions</t>
  </si>
  <si>
    <t>Gas Used for Products Extraction</t>
  </si>
  <si>
    <t>Other Gas Expenses</t>
  </si>
  <si>
    <t>Gas Technology Institute (GTI) Expenses</t>
  </si>
  <si>
    <t>TOTAL PRODUCTION EXPENSES</t>
  </si>
  <si>
    <t>UNDERGROUND STORAGE EXPENSES:</t>
  </si>
  <si>
    <t>Supervision &amp; Engineering</t>
  </si>
  <si>
    <t>Other Expenses</t>
  </si>
  <si>
    <t>Other Equipment</t>
  </si>
  <si>
    <t>TOTAL UNDERGROUND STORAGE OPER EXP</t>
  </si>
  <si>
    <t>Depreciation Expense-Underground Storage</t>
  </si>
  <si>
    <t>Amortization Expense-Underground Storage</t>
  </si>
  <si>
    <t>Taxes Other Than FIT</t>
  </si>
  <si>
    <t>TOTAL UG STORAGE DEPR/AMRT/NON-FIT TAXES</t>
  </si>
  <si>
    <t>TOTAL UNDERGROUND STORAGE EXPENSES</t>
  </si>
  <si>
    <t>DISTRIBUTION EXPENSES:</t>
  </si>
  <si>
    <t xml:space="preserve">  OPERATION</t>
  </si>
  <si>
    <t>Distribution Load Dispatching</t>
  </si>
  <si>
    <t>Mains &amp; Services Expenses</t>
  </si>
  <si>
    <t>Measuring &amp; Reg Sta Exp-General</t>
  </si>
  <si>
    <t>Measuring &amp; Reg Sta Exp-Industrial</t>
  </si>
  <si>
    <t>Measuring &amp; Reg Sta Exp-City Gate</t>
  </si>
  <si>
    <t>Meter &amp; House Regulator Expenses</t>
  </si>
  <si>
    <t>Customer Installation Expenses</t>
  </si>
  <si>
    <t>Rents</t>
  </si>
  <si>
    <t xml:space="preserve">  MAINTENANCE</t>
  </si>
  <si>
    <t>Mains</t>
  </si>
  <si>
    <t>Services</t>
  </si>
  <si>
    <t>Meters &amp; House Regulators</t>
  </si>
  <si>
    <t>TOTAL DISTRIBUTION OPERATING EXP</t>
  </si>
  <si>
    <t>Depreciation Expense-Distribution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</si>
  <si>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</si>
  <si>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</si>
  <si>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</si>
  <si>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</si>
  <si>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</si>
  <si>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</si>
  <si>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</si>
  <si>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</si>
  <si>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</si>
  <si>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</si>
  <si>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</si>
  <si>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</si>
  <si>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</si>
  <si>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</si>
  <si>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</si>
  <si>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</si>
  <si>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</si>
  <si>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</si>
  <si>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</si>
  <si>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</si>
  <si>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</si>
  <si>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</si>
  <si>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</si>
  <si>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Expenses Transferred - Credit</t>
  </si>
  <si>
    <t>Outside Services Employed</t>
  </si>
  <si>
    <t>Property Insurance Premium</t>
  </si>
  <si>
    <t>925XXX</t>
  </si>
  <si>
    <t>Injuries and Damages</t>
  </si>
  <si>
    <t>926XXX</t>
  </si>
  <si>
    <t>Employee Pensions and Benefits</t>
  </si>
  <si>
    <t>Regulatory Commission Expenses</t>
  </si>
  <si>
    <t>Miscellaneous General Expenses</t>
  </si>
  <si>
    <t>Maintenance of General Plant</t>
  </si>
  <si>
    <t>TOTAL ADMIN &amp; GEN OPERATING EXP</t>
  </si>
  <si>
    <t>Depreciation Expense-General Plant</t>
  </si>
  <si>
    <t>Amortization Expense - General Plant - 303000</t>
  </si>
  <si>
    <t>Amortization Expense - Misc IT Intangible Plant - 3031XX</t>
  </si>
  <si>
    <t>Amortization Expense-General Plant - 390200, 396200</t>
  </si>
  <si>
    <t>WA GRC Jackson Prairie O&amp;M Deferral</t>
  </si>
  <si>
    <t>407X28</t>
  </si>
  <si>
    <t>Reg Credit/Debit Decoupling Def Rev</t>
  </si>
  <si>
    <t>Reg Debit Amt Decoupling Surcharge</t>
  </si>
  <si>
    <t>DSIT Amortization - ID</t>
  </si>
  <si>
    <t>407425</t>
  </si>
  <si>
    <t>WA GRC Jackson Prairie Deferral</t>
  </si>
  <si>
    <t>TOTAL A&amp;G DEPR/AMRT/NON-FIT TAXES</t>
  </si>
  <si>
    <t>TOTAL ADMIN &amp; GENERAL EXPENSES</t>
  </si>
  <si>
    <t>TOTAL EXPENSES BEFORE FIT</t>
  </si>
  <si>
    <t>NET OPERATING INCOME BEFORE FIT</t>
  </si>
  <si>
    <t>DEFERRED FEDERAL INCOME TAX</t>
  </si>
  <si>
    <t>AMORTIZED INVESTMENT TAX CREDIT</t>
  </si>
  <si>
    <t>GAS NET OPERATING INCOME</t>
  </si>
  <si>
    <t>INTANGIBLE PLANT:</t>
  </si>
  <si>
    <t>Misc Intangible Plant (303000)</t>
  </si>
  <si>
    <t>3031XX</t>
  </si>
  <si>
    <t>Misc Intangible IT Plant (3031XX)</t>
  </si>
  <si>
    <t xml:space="preserve">  TOTAL INTANGIBLE PLANT</t>
  </si>
  <si>
    <t>UNDERGROUND STORAGE PLANT:</t>
  </si>
  <si>
    <t>350XXX</t>
  </si>
  <si>
    <t>Land &amp; Land Rights</t>
  </si>
  <si>
    <t>351XXX</t>
  </si>
  <si>
    <t>Structures &amp; Improvements</t>
  </si>
  <si>
    <t>352XXX</t>
  </si>
  <si>
    <t>Wells</t>
  </si>
  <si>
    <t>Lines</t>
  </si>
  <si>
    <t>Compressor Station Equipment</t>
  </si>
  <si>
    <t>Measuring &amp; Regulating Equipment</t>
  </si>
  <si>
    <t>Purification Equipment</t>
  </si>
  <si>
    <t>TOTAL UNDERGROUND STORAGE PLANT</t>
  </si>
  <si>
    <t>DISTRIBUTION PLANT:</t>
  </si>
  <si>
    <t>Measuring &amp; Reg Station Equip-General</t>
  </si>
  <si>
    <t>Measuring &amp; Reg Station Equip-City Gate</t>
  </si>
  <si>
    <t>Meters</t>
  </si>
  <si>
    <t>Meter Installations</t>
  </si>
  <si>
    <t>House Regulators</t>
  </si>
  <si>
    <t>House Regulator Installations</t>
  </si>
  <si>
    <t>Industrial Measuring &amp; Reg Sta Equip</t>
  </si>
  <si>
    <t>TOTAL DISTRIBUTION PLANT</t>
  </si>
  <si>
    <t>GENERAL PLANT</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</si>
  <si>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</si>
  <si>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</si>
  <si>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</si>
  <si>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</si>
  <si>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</si>
  <si>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</si>
  <si>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</si>
  <si>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</si>
  <si>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</si>
  <si>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</si>
  <si>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</si>
  <si>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</si>
  <si>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</si>
  <si>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</si>
  <si>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</si>
  <si>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 xml:space="preserve">  TOTAL PLANT IN SERVICE</t>
  </si>
  <si>
    <t xml:space="preserve">  TOTAL ACCUMULATED DEPRECIATION</t>
  </si>
  <si>
    <t>ACCUMULATED AMORTIZATION</t>
  </si>
  <si>
    <t>General Plant - 303000</t>
  </si>
  <si>
    <t>Misc IT Intangible Plant - 3031XX</t>
  </si>
  <si>
    <t>General Plant - 390200, 396200</t>
  </si>
  <si>
    <t xml:space="preserve">  TOTAL ACCUMULATED AMORTIZATION</t>
  </si>
  <si>
    <t xml:space="preserve">  TOTAL ACCUMULATED DEPR/AMORT</t>
  </si>
  <si>
    <t>NET GAS UTILITY PLANT before DFIT</t>
  </si>
  <si>
    <t>ACCUMULATED DFIT</t>
  </si>
  <si>
    <t>ADFIT - Gas Plant In Service</t>
  </si>
  <si>
    <t>ADFIT - Common Plant (282900 from C-DTX)</t>
  </si>
  <si>
    <t>ADFIT - Gas portion of Bond Redemptions</t>
  </si>
  <si>
    <t xml:space="preserve">  TOTAL ACCUMULATED DFIT</t>
  </si>
  <si>
    <t>NET GAS UTILITY PLANT</t>
  </si>
  <si>
    <t>OTHER ADJUSTMENTS:</t>
  </si>
  <si>
    <t>Gain on Sale of General Office Bldg</t>
  </si>
  <si>
    <t>DFIT - Gain on Sale of General Office Bldg</t>
  </si>
  <si>
    <t>Gas Stored - Recoverable Base Gas</t>
  </si>
  <si>
    <t>Gas Inventory--Jackson Prairie</t>
  </si>
  <si>
    <t>Customer Advances</t>
  </si>
  <si>
    <t>Customer Deposits</t>
  </si>
  <si>
    <t>Working Capital</t>
  </si>
  <si>
    <t>DSM Programs</t>
  </si>
  <si>
    <t>TOTAL OTHER ADJUSTMENTS</t>
  </si>
  <si>
    <t>NET RATE BASE</t>
  </si>
  <si>
    <t xml:space="preserve">   Regulatory Amortizations</t>
  </si>
  <si>
    <t>Regulatory Amortizations</t>
  </si>
  <si>
    <t xml:space="preserve">   Depreciation/Amortization</t>
  </si>
  <si>
    <t>ACCUMULATED DEPRECIATION/AMORTIZATION</t>
  </si>
  <si>
    <t xml:space="preserve">      Total Accum. Depreciation/Amort.</t>
  </si>
  <si>
    <t>Total Accumulated Depreciation/Amortization</t>
  </si>
  <si>
    <t>ACCUMULATED DEPREC/AMORT</t>
  </si>
  <si>
    <t>Total Accum. Depreciation/Amort.</t>
  </si>
  <si>
    <t>OTHER</t>
  </si>
  <si>
    <t>Reviewed</t>
  </si>
  <si>
    <t>(Pro Forma Restate Debt)</t>
  </si>
  <si>
    <t>All other</t>
  </si>
  <si>
    <t>Summary</t>
  </si>
  <si>
    <t>Pro Forma Rate of Return</t>
  </si>
  <si>
    <t>G-RET</t>
  </si>
  <si>
    <t>Capital Add</t>
  </si>
  <si>
    <t>R-Ttl</t>
  </si>
  <si>
    <t>PF-STtl</t>
  </si>
  <si>
    <t>O&amp;M</t>
  </si>
  <si>
    <t>Offsets</t>
  </si>
  <si>
    <t xml:space="preserve">FIT / </t>
  </si>
  <si>
    <t xml:space="preserve">DFIT </t>
  </si>
  <si>
    <t>Total Debt</t>
  </si>
  <si>
    <t>Revenue requirement</t>
  </si>
  <si>
    <t>Pro Forma Adjustments</t>
  </si>
  <si>
    <t>G-RPT</t>
  </si>
  <si>
    <t>G-PPT</t>
  </si>
  <si>
    <t>Working</t>
  </si>
  <si>
    <t>G-WC</t>
  </si>
  <si>
    <t>Gains/Losses</t>
  </si>
  <si>
    <t>Ryan</t>
  </si>
  <si>
    <t>Karen</t>
  </si>
  <si>
    <t xml:space="preserve">Jen </t>
  </si>
  <si>
    <t>ADFIT - Common Plant (283750 from C-DTX)</t>
  </si>
  <si>
    <t xml:space="preserve">Pro Forma </t>
  </si>
  <si>
    <t xml:space="preserve">Information </t>
  </si>
  <si>
    <t>Tech/Serv Exp</t>
  </si>
  <si>
    <t>Restated</t>
  </si>
  <si>
    <t>Sub-Total</t>
  </si>
  <si>
    <t>(1)</t>
  </si>
  <si>
    <t xml:space="preserve">Normalization </t>
  </si>
  <si>
    <t>Total (2)</t>
  </si>
  <si>
    <t>Adjusted</t>
  </si>
  <si>
    <t>CALCULATION OF GENERAL REVENUE REQUIREMENT</t>
  </si>
  <si>
    <t>WASHINGTON NATURAL GAS</t>
  </si>
  <si>
    <t>PROPOSED COST OF CAPITAL</t>
  </si>
  <si>
    <t>Cross Check</t>
  </si>
  <si>
    <t xml:space="preserve"> Revenue</t>
  </si>
  <si>
    <t xml:space="preserve">Weather </t>
  </si>
  <si>
    <t>Normalization /</t>
  </si>
  <si>
    <t>Eliminate</t>
  </si>
  <si>
    <t>Adder</t>
  </si>
  <si>
    <t>Schedules</t>
  </si>
  <si>
    <t>G-EAS</t>
  </si>
  <si>
    <t>RATE OF RETURN</t>
  </si>
  <si>
    <t>2016 AMA</t>
  </si>
  <si>
    <t>G-PREV</t>
  </si>
  <si>
    <t>Amortization</t>
  </si>
  <si>
    <t>Tara</t>
  </si>
  <si>
    <t>Provision for Rate Refund</t>
  </si>
  <si>
    <t>Idaho Earnings Test Amortization</t>
  </si>
  <si>
    <t xml:space="preserve">RATE OF RETURN </t>
  </si>
  <si>
    <t>Attrition Adjusted</t>
  </si>
  <si>
    <t>TWELVE MONTHS ENDED SEPTEMBER 30, 2015</t>
  </si>
  <si>
    <t>Transportation Revenues</t>
  </si>
  <si>
    <t>Project Compass Deferral - ID</t>
  </si>
  <si>
    <t>NET OPERATING INCOME (LOSS) BEFORE FIT</t>
  </si>
  <si>
    <t>GAS NET OPERATING INCOME (LOSS)</t>
  </si>
  <si>
    <t>407468</t>
  </si>
  <si>
    <t>PRO FORMA ADJUSTMENTS</t>
  </si>
  <si>
    <t/>
  </si>
  <si>
    <t>Dec 2015 AMA</t>
  </si>
  <si>
    <t>G-PCAP15</t>
  </si>
  <si>
    <t>G-PCAP16</t>
  </si>
  <si>
    <t>2016 Limited</t>
  </si>
  <si>
    <t>Capital Adds</t>
  </si>
  <si>
    <t>G-POFF</t>
  </si>
  <si>
    <t>G-PRA</t>
  </si>
  <si>
    <t>2017 AMA</t>
  </si>
  <si>
    <t>G-PAT</t>
  </si>
  <si>
    <t>G-CCAP16</t>
  </si>
  <si>
    <t>G-CCAP17</t>
  </si>
  <si>
    <t>G-CPT</t>
  </si>
  <si>
    <t>G-CIS</t>
  </si>
  <si>
    <t>G-CREC</t>
  </si>
  <si>
    <t>Restating Adjustments</t>
  </si>
  <si>
    <t xml:space="preserve">Project </t>
  </si>
  <si>
    <t>Compass</t>
  </si>
  <si>
    <t>Deferral</t>
  </si>
  <si>
    <t>G-CD</t>
  </si>
  <si>
    <t>G-WNGC</t>
  </si>
  <si>
    <t>2017 CROSS CHECK ADJUSTMENTS</t>
  </si>
  <si>
    <t>2017</t>
  </si>
  <si>
    <t xml:space="preserve">Cross Check </t>
  </si>
  <si>
    <t>Reconcile 2017</t>
  </si>
  <si>
    <t>to Attrition</t>
  </si>
  <si>
    <t>Tax Exp</t>
  </si>
  <si>
    <t>FINAL</t>
  </si>
  <si>
    <t>17CC-Ttl</t>
  </si>
  <si>
    <t>17AA/CC-Ttl</t>
  </si>
  <si>
    <t>2018</t>
  </si>
  <si>
    <t>2017 Cross Check Adjustments</t>
  </si>
  <si>
    <t>2018 Cross Check Adjustments</t>
  </si>
  <si>
    <t xml:space="preserve">     2017 Cross Check Total</t>
  </si>
  <si>
    <t xml:space="preserve">     2018 Cross Check Total</t>
  </si>
  <si>
    <t>Pipeline</t>
  </si>
  <si>
    <t>Safety Labor</t>
  </si>
  <si>
    <t>G-PPS</t>
  </si>
  <si>
    <t>G-CLN</t>
  </si>
  <si>
    <t>Insurance</t>
  </si>
  <si>
    <t>G-CI</t>
  </si>
  <si>
    <t>2017 AMI</t>
  </si>
  <si>
    <t>Capital &amp; Expense</t>
  </si>
  <si>
    <t>G-CAMI</t>
  </si>
  <si>
    <t xml:space="preserve">Total </t>
  </si>
  <si>
    <t>g</t>
  </si>
  <si>
    <t>2018 (6 Months)</t>
  </si>
  <si>
    <t>2017 Proposed</t>
  </si>
  <si>
    <t>WITH 2018 PROPOSED RATES</t>
  </si>
  <si>
    <t>2018 Proposed</t>
  </si>
  <si>
    <t>Total (1)</t>
  </si>
  <si>
    <t>2018 (6 months)</t>
  </si>
  <si>
    <t>(1) See footnote (1) on page 1.</t>
  </si>
  <si>
    <t>Attrition Allowance</t>
  </si>
  <si>
    <t>(000's of Dollars)</t>
  </si>
  <si>
    <t>STAFF PRO FORMA ANALYSIS</t>
  </si>
  <si>
    <t>Eliminated</t>
  </si>
  <si>
    <t>Requirement</t>
  </si>
  <si>
    <t>Revenue</t>
  </si>
  <si>
    <t>Avista Proposed</t>
  </si>
  <si>
    <t>Difference</t>
  </si>
  <si>
    <t>ROR impact</t>
  </si>
  <si>
    <t>Comparison of Revenue Requirement Adjustments</t>
  </si>
  <si>
    <t>at 7.64 %</t>
  </si>
  <si>
    <t>Staff Pro Forma</t>
  </si>
  <si>
    <t>At Staff's ROR</t>
  </si>
  <si>
    <t>S-T Debt</t>
  </si>
  <si>
    <t>L-T Debt</t>
  </si>
  <si>
    <t>Addition</t>
  </si>
  <si>
    <t>Percentage Revenue Increase/(Decrease), Pro Forma</t>
  </si>
  <si>
    <t>at 7.30%</t>
  </si>
  <si>
    <t>Contested</t>
  </si>
  <si>
    <t>matched</t>
  </si>
  <si>
    <t>Joanna's # b4 attrition</t>
  </si>
  <si>
    <t xml:space="preserve">matched </t>
  </si>
  <si>
    <t>Above</t>
  </si>
  <si>
    <t>Adjustment Number</t>
  </si>
  <si>
    <t>RR Summary</t>
  </si>
  <si>
    <t>ADJ Detail input</t>
  </si>
  <si>
    <t>Joanna's Adj detail input</t>
  </si>
  <si>
    <t xml:space="preserve">WASHINGTON NATURAL GAS - ATTRITION ADJUSTED PRO FORMA STUDY </t>
  </si>
  <si>
    <t>Annualized 2017 &amp; 2018</t>
  </si>
  <si>
    <t>WITH Annualized 2017 &amp; 2018 PROPOSED RATES</t>
  </si>
  <si>
    <t xml:space="preserve">Attrition Adjusted Pro Forma Rate Base </t>
  </si>
  <si>
    <t>Attrition Adjusted Net Operating Income Requirement</t>
  </si>
  <si>
    <t>Staff Attrition Adjusted Pro Forma Revenue Requirement Increase (Decrease)</t>
  </si>
  <si>
    <t>Total Attrition Adjusted Pro Forma Revenue Requirement</t>
  </si>
  <si>
    <t>Total Base Distribution Revenues</t>
  </si>
  <si>
    <t>Proposed Capital Structure</t>
  </si>
  <si>
    <t>Attrition Cross Check Adjustments</t>
  </si>
  <si>
    <t>Staff's Proposed Attrition Allowance</t>
  </si>
  <si>
    <r>
      <t xml:space="preserve">(1) The annualized 2017 &amp; 2018 Adjusted Total column, Column "d", developed by Staff's attrition study is used for the final adjusted results and revenue requirement on an attrition adjusted basis (see Mr. Hancock's Exhibit No. </t>
    </r>
    <r>
      <rPr>
        <sz val="8"/>
        <color theme="1"/>
        <rFont val="Times New Roman"/>
        <family val="1"/>
      </rPr>
      <t>CSH-3).</t>
    </r>
    <r>
      <rPr>
        <sz val="8"/>
        <rFont val="Times New Roman"/>
        <family val="1"/>
      </rPr>
      <t xml:space="preserve"> </t>
    </r>
  </si>
  <si>
    <t xml:space="preserve">Staff Proposed </t>
  </si>
  <si>
    <t>Explanation of the mechanics of the revenue requirement determination with an attrition adjustment</t>
  </si>
  <si>
    <t>Exhibit Nos. JH-2 and JH-3 include Adjustment 4.08, Staff Proposed Attrition Allowance.  This adjustment is directly from Staff witness Mr. Christopher Hancock’s Exhibit Nos. CSH-2 and CSH-3 and is intentionally hard-coded in Ms. Joanna Huang’s exhibit.  This is to avoid potential unintended consequences if either the attrition allowance is altered or if the pro forma results are altered.  Any alterations or revisions to the result of either exhibit are expected and should manifest themselves in the final revenue requirement.</t>
  </si>
  <si>
    <t>Examples to accomplish desired results:</t>
  </si>
  <si>
    <t>1.</t>
  </si>
  <si>
    <t>2.</t>
  </si>
  <si>
    <t>Assume Staff’s pro forma case is accepted as is, but the attrition study is revised.  Column [D] in Exhibit No. CSH-2 or Exhibit No. CSH-3 is a hard-coded transfer of Staff’s pro forma results of operations.  If the attrition study is revised, the adjustment in column [E] will change accordingly.  The revised column [E] must be manually transferred to the Adjustment 4.08 (Attrition Adjustment) in Ms. Huang’s appropriate revenue requirement spread sheet.  This will accomplish the desired effect on total revenue requirements.  For instance, if a trending percentage is revised to reduce the electric attrition allowance by $1 million, then Exhibit No. CSH-2 will show this reduction.  The results in column [E] of Exhibit No. CSH-2 must be transcribed into Adjustment 4.08 to derive the proper total revenue requirement result.</t>
  </si>
  <si>
    <t>3.</t>
  </si>
  <si>
    <t>If there are revisions to both the pro forma results and to the attrition study, then both operations above must be done.  The combined result in Exhibit No. JH-2 or Exhibit No. JH-3 will show the addition of both revisions.</t>
  </si>
  <si>
    <t>Assume Staff’s Attrition Adjustment 4.08 is accepted as is.  If a pro forma or restating expense adjustment is revised by $2 million, the resulting revenue requirement will also increase or decrease by $2.1 million (given the nature of revenue related taxes).</t>
  </si>
  <si>
    <r>
      <t xml:space="preserve">*The revised numbers are shaded in </t>
    </r>
    <r>
      <rPr>
        <b/>
        <u/>
        <sz val="10"/>
        <color theme="9"/>
        <rFont val="Times New Roman"/>
        <family val="1"/>
      </rPr>
      <t>yellow</t>
    </r>
    <r>
      <rPr>
        <sz val="10"/>
        <color theme="9"/>
        <rFont val="Times New Roman"/>
        <family val="1"/>
      </rPr>
      <t>. </t>
    </r>
    <r>
      <rPr>
        <sz val="10"/>
        <rFont val="Times New Roman"/>
        <family val="1"/>
      </rPr>
      <t xml:space="preserve"> The amounts that are affected by the revised numbers are shaded in </t>
    </r>
    <r>
      <rPr>
        <b/>
        <u/>
        <sz val="10"/>
        <color rgb="FF00B050"/>
        <rFont val="Times New Roman"/>
        <family val="1"/>
      </rPr>
      <t>green</t>
    </r>
    <r>
      <rPr>
        <sz val="1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</si>
</sst>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_(&quot;$&quot;#,###_);_(&quot;$&quot;\ \(#,###\);_(* _);_(@_)"/>
    <numFmt numFmtId="169" formatCode="0.000000"/>
    <numFmt numFmtId="170" formatCode="0.000%"/>
    <numFmt numFmtId="171" formatCode="&quot;x &quot;0.00"/>
    <numFmt numFmtId="172" formatCode="&quot;x &quot;0.000"/>
    <numFmt numFmtId="173" formatCode="_(* #,##0_);_(* \(#,##0\);_(* &quot;-&quot;??_);_(@_)"/>
    <numFmt numFmtId="174" formatCode="_(&quot;$&quot;* #,##0_);_(&quot;$&quot;* \(#,##0\);_(&quot;$&quot;* &quot;-&quot;??_);_(@_)"/>
    <numFmt numFmtId="175" formatCode="0000.00"/>
    <numFmt numFmtId="176" formatCode="0000"/>
    <numFmt numFmtId="177" formatCode="_(* #,##0.00000_);_(* \(#,##0.00000\);_(* &quot;-&quot;_);_(@_)"/>
    <numFmt numFmtId="178" formatCode="_(* #,##0.000000_);_(* \(#,##0.000000\);_(* &quot;-&quot;_);_(@_)"/>
    <numFmt numFmtId="179" formatCode="#,##0.0%;\(#,##0.0%\)"/>
    <numFmt numFmtId="180" formatCode="#,##0.000"/>
  </numFmts>
  <fonts count="83">
    <font>
      <sz val="10"/>
      <name val="Arial"/>
    </font>
    <font>
      <sz val="10"/>
      <name val="Arial"/>
      <family val="2"/>
    </font>
    <font>
      <sz val="10"/>
      <name val="Geneva"/>
    </font>
    <font>
      <sz val="9"/>
      <name val="Times New Roman"/>
      <family val="1"/>
    </font>
    <font>
      <sz val="9"/>
      <name val="Times New Roman"/>
      <family val="1"/>
    </font>
    <font>
      <b/>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8"/>
      <name val="Times New Roman"/>
      <family val="1"/>
    </font>
    <font>
      <sz val="10"/>
      <color indexed="62"/>
      <name val="Times New Roman"/>
      <family val="1"/>
    </font>
    <font>
      <sz val="10"/>
      <color indexed="21"/>
      <name val="Times New Roman"/>
      <family val="1"/>
    </font>
    <font>
      <sz val="10"/>
      <color indexed="12"/>
      <name val="Times New Roman"/>
      <family val="1"/>
    </font>
    <font>
      <i/>
      <sz val="10"/>
      <name val="Times New Roman"/>
      <family val="1"/>
    </font>
    <font>
      <sz val="8"/>
      <color indexed="81"/>
      <name val="Tahoma"/>
      <family val="2"/>
    </font>
    <font>
      <b/>
      <sz val="8"/>
      <color indexed="81"/>
      <name val="Tahoma"/>
      <family val="2"/>
    </font>
    <font>
      <b/>
      <sz val="10"/>
      <name val="Times New Roman"/>
      <family val="1"/>
    </font>
    <font>
      <b/>
      <sz val="10"/>
      <color indexed="48"/>
      <name val="Times New Roman"/>
      <family val="1"/>
    </font>
    <font>
      <sz val="10"/>
      <color indexed="48"/>
      <name val="Times New Roman"/>
      <family val="1"/>
    </font>
    <font>
      <b/>
      <sz val="10"/>
      <color indexed="10"/>
      <name val="Times New Roman"/>
      <family val="1"/>
    </font>
    <font>
      <sz val="10"/>
      <name val="Arial"/>
      <family val="2"/>
    </font>
    <font>
      <sz val="8"/>
      <name val="Arial"/>
      <family val="2"/>
    </font>
    <font>
      <b/>
      <sz val="14"/>
      <name val="Times New Roman"/>
      <family val="1"/>
    </font>
    <font>
      <sz val="12"/>
      <name val="Times New Roman"/>
      <family val="1"/>
    </font>
    <font>
      <b/>
      <sz val="12"/>
      <name val="Times New Roman"/>
      <family val="1"/>
    </font>
    <font>
      <b/>
      <sz val="12"/>
      <color indexed="10"/>
      <name val="Times New Roman"/>
      <family val="1"/>
    </font>
    <font>
      <sz val="12"/>
      <color indexed="56"/>
      <name val="Times New Roman"/>
      <family val="1"/>
    </font>
    <font>
      <sz val="12"/>
      <name val="Courier New"/>
      <family val="3"/>
    </font>
    <font>
      <b/>
      <sz val="11"/>
      <name val="Times New Roman"/>
      <family val="1"/>
    </font>
    <font>
      <u/>
      <sz val="10"/>
      <color theme="0"/>
      <name val="Arial"/>
      <family val="2"/>
    </font>
    <font>
      <u/>
      <sz val="7.5"/>
      <color theme="0"/>
      <name val="Arial"/>
      <family val="2"/>
    </font>
    <font>
      <b/>
      <i/>
      <sz val="10"/>
      <name val="Times New Roman"/>
      <family val="1"/>
    </font>
    <font>
      <sz val="8"/>
      <name val="Times New Roman"/>
      <family val="1"/>
    </font>
    <font>
      <sz val="9"/>
      <color theme="1"/>
      <name val="Times New Roman"/>
      <family val="1"/>
    </font>
    <font>
      <b/>
      <sz val="9"/>
      <color theme="1"/>
      <name val="Times New Roman"/>
      <family val="1"/>
    </font>
    <font>
      <b/>
      <sz val="11"/>
      <color theme="1"/>
      <name val="Times New Roman"/>
      <family val="1"/>
    </font>
    <font>
      <sz val="12"/>
      <color theme="1"/>
      <name val="Times New Roman"/>
      <family val="1"/>
    </font>
    <font>
      <sz val="10"/>
      <name val="Geneva"/>
      <family val="2"/>
    </font>
    <font>
      <sz val="9"/>
      <color rgb="FF0033CC"/>
      <name val="Times New Roman"/>
      <family val="1"/>
    </font>
    <font>
      <b/>
      <u/>
      <sz val="10"/>
      <name val="Times New Roman"/>
      <family val="1"/>
    </font>
    <font>
      <b/>
      <sz val="8"/>
      <color indexed="10"/>
      <name val="Times New Roman"/>
      <family val="1"/>
    </font>
    <font>
      <sz val="12"/>
      <color indexed="10"/>
      <name val="Times New Roman"/>
      <family val="1"/>
    </font>
    <font>
      <sz val="11"/>
      <name val="Tms Rmn"/>
    </font>
    <font>
      <sz val="11"/>
      <name val="Times New Roman"/>
      <family val="1"/>
    </font>
    <font>
      <sz val="10"/>
      <name val="Tahoma"/>
      <family val="2"/>
    </font>
    <font>
      <sz val="12"/>
      <name val="Tms Rmn"/>
    </font>
    <font>
      <b/>
      <u/>
      <sz val="9"/>
      <name val="Times New Roman"/>
      <family val="1"/>
    </font>
    <font>
      <b/>
      <sz val="10"/>
      <color rgb="FF002060"/>
      <name val="Times New Roman"/>
      <family val="1"/>
    </font>
    <font>
      <sz val="10"/>
      <color rgb="FF002060"/>
      <name val="Times New Roman"/>
      <family val="1"/>
    </font>
    <font>
      <u/>
      <sz val="10"/>
      <color rgb="FF002060"/>
      <name val="Times New Roman"/>
      <family val="1"/>
    </font>
    <font>
      <sz val="10"/>
      <color rgb="FFC00000"/>
      <name val="Times New Roman"/>
      <family val="1"/>
    </font>
    <font>
      <u/>
      <sz val="10"/>
      <color rgb="FFC00000"/>
      <name val="Times New Roman"/>
      <family val="1"/>
    </font>
    <font>
      <b/>
      <sz val="8"/>
      <name val="Times New Roman"/>
      <family val="1"/>
    </font>
    <font>
      <sz val="9"/>
      <color rgb="FFFF0000"/>
      <name val="Times New Roman"/>
      <family val="1"/>
    </font>
    <font>
      <sz val="10"/>
      <color rgb="FFFF0000"/>
      <name val="Times New Roman"/>
      <family val="1"/>
    </font>
    <font>
      <b/>
      <sz val="10"/>
      <color rgb="FFFF0000"/>
      <name val="Times New Roman"/>
      <family val="1"/>
    </font>
    <font>
      <b/>
      <sz val="9"/>
      <color indexed="81"/>
      <name val="Tahoma"/>
      <family val="2"/>
    </font>
    <font>
      <sz val="9"/>
      <color indexed="81"/>
      <name val="Tahoma"/>
      <family val="2"/>
    </font>
    <font>
      <b/>
      <sz val="9"/>
      <color rgb="FFFF0000"/>
      <name val="Times New Roman"/>
      <family val="1"/>
    </font>
    <font>
      <b/>
      <sz val="8"/>
      <color rgb="FFFF0000"/>
      <name val="Times New Roman"/>
      <family val="1"/>
    </font>
    <font>
      <sz val="9"/>
      <color rgb="FFFF0000"/>
      <name val="Calibri"/>
      <family val="2"/>
    </font>
    <font>
      <sz val="10"/>
      <color rgb="FFFF0000"/>
      <name val="Arial"/>
      <family val="2"/>
    </font>
    <font>
      <sz val="10"/>
      <color theme="1"/>
      <name val="Times New Roman"/>
      <family val="1"/>
    </font>
    <font>
      <b/>
      <sz val="12"/>
      <color theme="1"/>
      <name val="Times New Roman"/>
      <family val="1"/>
    </font>
    <font>
      <b/>
      <sz val="10"/>
      <color theme="1"/>
      <name val="Times New Roman"/>
      <family val="1"/>
    </font>
    <font>
      <i/>
      <sz val="9"/>
      <color theme="1"/>
      <name val="Times New Roman"/>
      <family val="1"/>
    </font>
    <font>
      <b/>
      <sz val="8"/>
      <color theme="1"/>
      <name val="Times New Roman"/>
      <family val="1"/>
    </font>
    <font>
      <sz val="9"/>
      <color theme="1"/>
      <name val="Calibri"/>
      <family val="2"/>
    </font>
    <font>
      <sz val="9"/>
      <color rgb="FF0070C0"/>
      <name val="Times New Roman"/>
      <family val="1"/>
    </font>
    <font>
      <b/>
      <sz val="9"/>
      <color theme="5"/>
      <name val="Times New Roman"/>
      <family val="1"/>
    </font>
    <font>
      <sz val="9"/>
      <color theme="5"/>
      <name val="Times New Roman"/>
      <family val="1"/>
    </font>
    <font>
      <sz val="10"/>
      <color theme="5"/>
      <name val="Times New Roman"/>
      <family val="1"/>
    </font>
    <font>
      <b/>
      <sz val="14"/>
      <color theme="1"/>
      <name val="Times New Roman"/>
      <family val="1"/>
    </font>
    <font>
      <sz val="9"/>
      <name val="Arial"/>
      <family val="2"/>
    </font>
    <font>
      <sz val="8"/>
      <color theme="1"/>
      <name val="Times New Roman"/>
      <family val="1"/>
    </font>
    <font>
      <u/>
      <sz val="10"/>
      <color theme="1"/>
      <name val="Times New Roman"/>
      <family val="1"/>
    </font>
    <font>
      <i/>
      <sz val="8"/>
      <color theme="1"/>
      <name val="Times New Roman"/>
      <family val="1"/>
    </font>
    <font>
      <b/>
      <u/>
      <sz val="10"/>
      <color theme="9"/>
      <name val="Times New Roman"/>
      <family val="1"/>
    </font>
    <font>
      <sz val="10"/>
      <color theme="9"/>
      <name val="Times New Roman"/>
      <family val="1"/>
    </font>
    <font>
      <b/>
      <u/>
      <sz val="10"/>
      <color rgb="FF00B050"/>
      <name val="Times New Roman"/>
      <family val="1"/>
    </font>
  </fonts>
  <fills count="8">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s>
  <cellStyleXfs count="2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 fillId="0" borderId="0"/>
    <xf numFmtId="0" fontId="40" fillId="0" borderId="0"/>
    <xf numFmtId="44" fontId="1" fillId="0" borderId="0" applyFont="0" applyFill="0" applyBorder="0" applyAlignment="0" applyProtection="0"/>
    <xf numFmtId="0" fontId="44" fillId="3" borderId="0"/>
    <xf numFmtId="0" fontId="26" fillId="0" borderId="0"/>
    <xf numFmtId="0" fontId="1" fillId="0" borderId="0"/>
    <xf numFmtId="0" fontId="1" fillId="0" borderId="0"/>
    <xf numFmtId="9" fontId="1" fillId="0" borderId="0" applyFont="0" applyFill="0" applyBorder="0" applyAlignment="0" applyProtection="0"/>
    <xf numFmtId="0" fontId="40" fillId="0" borderId="0"/>
    <xf numFmtId="43" fontId="47" fillId="0" borderId="0" applyFont="0" applyFill="0" applyBorder="0" applyAlignment="0" applyProtection="0"/>
    <xf numFmtId="0" fontId="40" fillId="0" borderId="0"/>
    <xf numFmtId="0" fontId="40" fillId="0" borderId="0"/>
  </cellStyleXfs>
  <cellXfs count="961">
    <xf numFmtId="0" fontId="0" fillId="0" borderId="0" xfId="0"/>
    <xf numFmtId="0" fontId="3" fillId="0" borderId="0" xfId="6" applyFont="1"/>
    <xf numFmtId="0" fontId="3" fillId="0" borderId="0" xfId="6" applyNumberFormat="1" applyFont="1" applyAlignment="1">
      <alignment horizontal="center"/>
    </xf>
    <xf numFmtId="5" fontId="3" fillId="0" borderId="0" xfId="6" applyNumberFormat="1" applyFont="1"/>
    <xf numFmtId="37" fontId="3" fillId="0" borderId="0" xfId="6" applyNumberFormat="1" applyFont="1"/>
    <xf numFmtId="0" fontId="3" fillId="0" borderId="0" xfId="6" applyNumberFormat="1" applyFont="1" applyBorder="1" applyAlignment="1">
      <alignment horizontal="center"/>
    </xf>
    <xf numFmtId="37" fontId="3" fillId="0" borderId="0" xfId="6" applyNumberFormat="1" applyFont="1" applyBorder="1"/>
    <xf numFmtId="10" fontId="3" fillId="0" borderId="0" xfId="7" applyNumberFormat="1" applyFont="1"/>
    <xf numFmtId="0" fontId="4" fillId="0" borderId="0" xfId="0" applyFont="1" applyAlignment="1">
      <alignment horizontal="centerContinuous"/>
    </xf>
    <xf numFmtId="0" fontId="4" fillId="0" borderId="0" xfId="0" applyFont="1"/>
    <xf numFmtId="165" fontId="4" fillId="0" borderId="0" xfId="0" applyNumberFormat="1" applyFont="1" applyAlignment="1">
      <alignment horizontal="right"/>
    </xf>
    <xf numFmtId="166" fontId="4" fillId="0" borderId="0" xfId="0" applyNumberFormat="1" applyFont="1" applyAlignment="1">
      <alignment horizontal="right"/>
    </xf>
    <xf numFmtId="3" fontId="4" fillId="0" borderId="0" xfId="0" applyNumberFormat="1" applyFont="1" applyAlignment="1">
      <alignment horizontal="centerContinuous"/>
    </xf>
    <xf numFmtId="165" fontId="4" fillId="0" borderId="10" xfId="0" applyNumberFormat="1" applyFont="1" applyBorder="1" applyAlignment="1">
      <alignment horizontal="right"/>
    </xf>
    <xf numFmtId="166" fontId="6" fillId="0" borderId="10" xfId="0" applyNumberFormat="1" applyFont="1" applyBorder="1" applyAlignment="1">
      <alignment horizontal="center"/>
    </xf>
    <xf numFmtId="0" fontId="4" fillId="0" borderId="0" xfId="0" applyFont="1" applyAlignment="1">
      <alignment horizontal="center"/>
    </xf>
    <xf numFmtId="166" fontId="4" fillId="0" borderId="0" xfId="0" applyNumberFormat="1" applyFont="1" applyAlignment="1">
      <alignment horizontal="center"/>
    </xf>
    <xf numFmtId="0" fontId="4" fillId="0" borderId="0" xfId="0" applyFont="1" applyBorder="1" applyAlignment="1">
      <alignment horizontal="center"/>
    </xf>
    <xf numFmtId="0" fontId="4" fillId="0" borderId="10" xfId="0" applyFont="1" applyBorder="1" applyAlignment="1">
      <alignment horizontal="centerContinuous"/>
    </xf>
    <xf numFmtId="165" fontId="4" fillId="0" borderId="10" xfId="0" applyNumberFormat="1" applyFont="1" applyBorder="1" applyAlignment="1">
      <alignment horizontal="center"/>
    </xf>
    <xf numFmtId="166" fontId="4" fillId="0" borderId="10" xfId="0" applyNumberFormat="1" applyFont="1" applyBorder="1" applyAlignment="1">
      <alignment horizontal="center"/>
    </xf>
    <xf numFmtId="0" fontId="8" fillId="0" borderId="0" xfId="0" applyFont="1" applyAlignment="1">
      <alignment horizontal="center"/>
    </xf>
    <xf numFmtId="165" fontId="4" fillId="0" borderId="0" xfId="0" applyNumberFormat="1" applyFont="1" applyAlignment="1">
      <alignment horizontal="center"/>
    </xf>
    <xf numFmtId="5" fontId="4" fillId="0" borderId="0" xfId="0" applyNumberFormat="1" applyFont="1"/>
    <xf numFmtId="164" fontId="4" fillId="0" borderId="0" xfId="0" applyNumberFormat="1" applyFont="1"/>
    <xf numFmtId="37" fontId="4" fillId="0" borderId="0" xfId="0" applyNumberFormat="1" applyFont="1"/>
    <xf numFmtId="37" fontId="4" fillId="0" borderId="10" xfId="0" applyNumberFormat="1" applyFont="1" applyBorder="1"/>
    <xf numFmtId="3" fontId="4" fillId="0" borderId="0" xfId="0" applyNumberFormat="1" applyFont="1" applyAlignment="1">
      <alignment horizontal="left"/>
    </xf>
    <xf numFmtId="167" fontId="4" fillId="0" borderId="0" xfId="0" applyNumberFormat="1" applyFont="1"/>
    <xf numFmtId="165" fontId="4" fillId="0" borderId="0" xfId="0" applyNumberFormat="1" applyFont="1"/>
    <xf numFmtId="166" fontId="4" fillId="0" borderId="0" xfId="0" applyNumberFormat="1" applyFont="1"/>
    <xf numFmtId="164" fontId="4" fillId="0" borderId="0" xfId="0" applyNumberFormat="1" applyFont="1" applyAlignment="1">
      <alignment horizontal="left"/>
    </xf>
    <xf numFmtId="5" fontId="4" fillId="0" borderId="12" xfId="0" applyNumberFormat="1" applyFont="1" applyBorder="1"/>
    <xf numFmtId="10" fontId="4" fillId="0" borderId="0" xfId="7" applyNumberFormat="1" applyFont="1"/>
    <xf numFmtId="37" fontId="3" fillId="0" borderId="0" xfId="0" applyNumberFormat="1" applyFont="1"/>
    <xf numFmtId="5" fontId="12" fillId="0" borderId="12" xfId="0" applyNumberFormat="1" applyFont="1" applyBorder="1"/>
    <xf numFmtId="0" fontId="9" fillId="0" borderId="0" xfId="0" applyFont="1"/>
    <xf numFmtId="0" fontId="9" fillId="0" borderId="0" xfId="0" applyFont="1" applyAlignment="1">
      <alignment horizontal="center"/>
    </xf>
    <xf numFmtId="0" fontId="3" fillId="0" borderId="0" xfId="0" applyFont="1"/>
    <xf numFmtId="3" fontId="3" fillId="0" borderId="0" xfId="0" applyNumberFormat="1" applyFont="1"/>
    <xf numFmtId="0" fontId="5" fillId="0" borderId="0" xfId="0" applyFont="1" applyAlignment="1">
      <alignment horizontal="center"/>
    </xf>
    <xf numFmtId="3" fontId="5" fillId="0" borderId="1" xfId="0" applyNumberFormat="1" applyFont="1" applyBorder="1" applyAlignment="1">
      <alignment horizontal="center"/>
    </xf>
    <xf numFmtId="0" fontId="5" fillId="0" borderId="0" xfId="0" applyFont="1" applyBorder="1" applyAlignment="1">
      <alignment horizontal="center"/>
    </xf>
    <xf numFmtId="3" fontId="5" fillId="0" borderId="5" xfId="0" applyNumberFormat="1" applyFont="1" applyBorder="1" applyAlignment="1">
      <alignment horizontal="center"/>
    </xf>
    <xf numFmtId="0" fontId="5" fillId="0" borderId="10" xfId="0" applyFont="1" applyBorder="1" applyAlignment="1">
      <alignment horizontal="center"/>
    </xf>
    <xf numFmtId="3" fontId="5" fillId="0" borderId="8" xfId="0" applyNumberFormat="1" applyFont="1" applyBorder="1" applyAlignment="1">
      <alignment horizontal="center"/>
    </xf>
    <xf numFmtId="3" fontId="7" fillId="0" borderId="0" xfId="0" applyNumberFormat="1" applyFont="1" applyAlignment="1">
      <alignment horizontal="center"/>
    </xf>
    <xf numFmtId="0" fontId="9" fillId="0" borderId="0" xfId="0" applyFont="1" applyBorder="1"/>
    <xf numFmtId="5" fontId="9" fillId="0" borderId="0" xfId="0" applyNumberFormat="1" applyFont="1" applyBorder="1"/>
    <xf numFmtId="3" fontId="9" fillId="0" borderId="0" xfId="0" applyNumberFormat="1" applyFont="1" applyBorder="1"/>
    <xf numFmtId="37" fontId="9" fillId="0" borderId="0" xfId="0" applyNumberFormat="1" applyFont="1" applyBorder="1"/>
    <xf numFmtId="6" fontId="9" fillId="0" borderId="0" xfId="2" applyNumberFormat="1" applyFont="1" applyBorder="1"/>
    <xf numFmtId="3" fontId="13" fillId="0" borderId="0" xfId="0" applyNumberFormat="1" applyFont="1" applyAlignment="1">
      <alignment horizontal="center"/>
    </xf>
    <xf numFmtId="3" fontId="13" fillId="0" borderId="0" xfId="0" applyNumberFormat="1" applyFont="1"/>
    <xf numFmtId="0" fontId="13" fillId="0" borderId="0" xfId="0" applyFont="1"/>
    <xf numFmtId="3" fontId="9" fillId="0" borderId="0" xfId="0" applyNumberFormat="1" applyFont="1" applyAlignment="1">
      <alignment horizontal="center"/>
    </xf>
    <xf numFmtId="3" fontId="9" fillId="0" borderId="0" xfId="0" applyNumberFormat="1" applyFont="1"/>
    <xf numFmtId="5" fontId="9" fillId="0" borderId="0" xfId="0" applyNumberFormat="1" applyFont="1"/>
    <xf numFmtId="0" fontId="9" fillId="0" borderId="0" xfId="0" applyFont="1" applyFill="1" applyAlignment="1">
      <alignment horizontal="center"/>
    </xf>
    <xf numFmtId="5" fontId="9" fillId="0" borderId="16" xfId="0" applyNumberFormat="1" applyFont="1" applyBorder="1"/>
    <xf numFmtId="0" fontId="9" fillId="0" borderId="15" xfId="0" applyFont="1" applyBorder="1" applyAlignment="1">
      <alignment horizontal="center"/>
    </xf>
    <xf numFmtId="10" fontId="10" fillId="0" borderId="12" xfId="0" applyNumberFormat="1" applyFont="1" applyBorder="1" applyAlignment="1">
      <alignment horizontal="center"/>
    </xf>
    <xf numFmtId="0" fontId="13" fillId="0" borderId="0" xfId="0" applyFont="1" applyBorder="1"/>
    <xf numFmtId="0" fontId="14" fillId="0" borderId="0" xfId="0" applyFont="1"/>
    <xf numFmtId="0" fontId="14" fillId="0" borderId="0" xfId="0" applyFont="1" applyBorder="1"/>
    <xf numFmtId="3" fontId="3" fillId="0" borderId="0" xfId="6" applyNumberFormat="1" applyFont="1"/>
    <xf numFmtId="168" fontId="3" fillId="0" borderId="0" xfId="6" applyNumberFormat="1" applyFont="1"/>
    <xf numFmtId="37" fontId="3" fillId="0" borderId="0" xfId="5" applyNumberFormat="1" applyFont="1"/>
    <xf numFmtId="170" fontId="3" fillId="0" borderId="0" xfId="7" applyNumberFormat="1" applyFont="1" applyBorder="1"/>
    <xf numFmtId="0" fontId="3" fillId="0" borderId="0" xfId="5" applyFont="1"/>
    <xf numFmtId="0" fontId="3" fillId="0" borderId="0" xfId="5" applyNumberFormat="1" applyFont="1" applyAlignment="1">
      <alignment horizontal="left"/>
    </xf>
    <xf numFmtId="0" fontId="3" fillId="0" borderId="0" xfId="5" applyNumberFormat="1" applyFont="1" applyAlignment="1">
      <alignment horizontal="center"/>
    </xf>
    <xf numFmtId="0" fontId="5" fillId="0" borderId="0" xfId="5" applyNumberFormat="1" applyFont="1" applyAlignment="1">
      <alignment horizontal="center"/>
    </xf>
    <xf numFmtId="0" fontId="5" fillId="0" borderId="0" xfId="5" applyFont="1" applyAlignment="1">
      <alignment horizontal="center"/>
    </xf>
    <xf numFmtId="3" fontId="5" fillId="0" borderId="13" xfId="0" applyNumberFormat="1" applyFont="1" applyBorder="1" applyAlignment="1">
      <alignment horizontal="centerContinuous"/>
    </xf>
    <xf numFmtId="3" fontId="5" fillId="0" borderId="15" xfId="0" applyNumberFormat="1" applyFont="1" applyBorder="1" applyAlignment="1">
      <alignment horizontal="centerContinuous"/>
    </xf>
    <xf numFmtId="3" fontId="5" fillId="0" borderId="14" xfId="0" applyNumberFormat="1" applyFont="1" applyBorder="1" applyAlignment="1">
      <alignment horizontal="centerContinuous"/>
    </xf>
    <xf numFmtId="0" fontId="5" fillId="0" borderId="1" xfId="5" applyNumberFormat="1" applyFont="1" applyBorder="1" applyAlignment="1">
      <alignment horizontal="center"/>
    </xf>
    <xf numFmtId="0" fontId="5" fillId="0" borderId="2" xfId="5" applyNumberFormat="1" applyFont="1" applyBorder="1" applyAlignment="1">
      <alignment horizontal="center"/>
    </xf>
    <xf numFmtId="0" fontId="5" fillId="0" borderId="2" xfId="5" applyFont="1" applyBorder="1" applyAlignment="1">
      <alignment horizontal="center"/>
    </xf>
    <xf numFmtId="0" fontId="5" fillId="0" borderId="3" xfId="5" applyFont="1" applyBorder="1" applyAlignment="1">
      <alignment horizontal="center"/>
    </xf>
    <xf numFmtId="0" fontId="5" fillId="0" borderId="4" xfId="5" applyFont="1" applyBorder="1" applyAlignment="1">
      <alignment horizontal="center"/>
    </xf>
    <xf numFmtId="0" fontId="5" fillId="0" borderId="5" xfId="5" applyNumberFormat="1" applyFont="1" applyBorder="1" applyAlignment="1">
      <alignment horizontal="center"/>
    </xf>
    <xf numFmtId="0" fontId="5" fillId="0" borderId="6" xfId="5" applyNumberFormat="1" applyFont="1" applyBorder="1" applyAlignment="1">
      <alignment horizontal="center"/>
    </xf>
    <xf numFmtId="0" fontId="5" fillId="0" borderId="6" xfId="5" applyFont="1" applyBorder="1" applyAlignment="1">
      <alignment horizontal="center"/>
    </xf>
    <xf numFmtId="0" fontId="5" fillId="0" borderId="0" xfId="5" applyFont="1" applyBorder="1" applyAlignment="1">
      <alignment horizontal="center"/>
    </xf>
    <xf numFmtId="0" fontId="5" fillId="0" borderId="7" xfId="5" applyFont="1" applyBorder="1" applyAlignment="1">
      <alignment horizontal="center"/>
    </xf>
    <xf numFmtId="0" fontId="5" fillId="0" borderId="8" xfId="5" applyNumberFormat="1" applyFont="1" applyBorder="1" applyAlignment="1">
      <alignment horizontal="center"/>
    </xf>
    <xf numFmtId="0" fontId="5" fillId="0" borderId="9" xfId="5" applyNumberFormat="1" applyFont="1" applyBorder="1" applyAlignment="1">
      <alignment horizontal="center"/>
    </xf>
    <xf numFmtId="0" fontId="5" fillId="0" borderId="9" xfId="5" applyFont="1" applyBorder="1" applyAlignment="1">
      <alignment horizontal="center"/>
    </xf>
    <xf numFmtId="0" fontId="5" fillId="0" borderId="10" xfId="5" applyFont="1" applyBorder="1" applyAlignment="1">
      <alignment horizontal="center"/>
    </xf>
    <xf numFmtId="0" fontId="5" fillId="0" borderId="11" xfId="5" applyFont="1" applyBorder="1" applyAlignment="1">
      <alignment horizontal="center"/>
    </xf>
    <xf numFmtId="0" fontId="7" fillId="0" borderId="0" xfId="5" applyNumberFormat="1" applyFont="1" applyAlignment="1">
      <alignment horizontal="center"/>
    </xf>
    <xf numFmtId="0" fontId="7" fillId="0" borderId="0" xfId="5" applyFont="1" applyAlignment="1">
      <alignment horizontal="center"/>
    </xf>
    <xf numFmtId="10" fontId="3" fillId="0" borderId="0" xfId="6" applyNumberFormat="1" applyFont="1"/>
    <xf numFmtId="37" fontId="3" fillId="0" borderId="0" xfId="5" applyNumberFormat="1" applyFont="1" applyBorder="1" applyAlignment="1">
      <alignment horizontal="center"/>
    </xf>
    <xf numFmtId="0" fontId="3" fillId="0" borderId="0" xfId="5" applyFont="1" applyBorder="1"/>
    <xf numFmtId="37" fontId="3" fillId="0" borderId="12" xfId="6" applyNumberFormat="1" applyFont="1" applyBorder="1"/>
    <xf numFmtId="173" fontId="3" fillId="0" borderId="0" xfId="1" applyNumberFormat="1" applyFont="1"/>
    <xf numFmtId="169" fontId="10" fillId="0" borderId="0" xfId="0" applyNumberFormat="1" applyFont="1" applyAlignment="1">
      <alignment horizontal="center"/>
    </xf>
    <xf numFmtId="0" fontId="19" fillId="0" borderId="0" xfId="0" applyFont="1"/>
    <xf numFmtId="169" fontId="9" fillId="0" borderId="0" xfId="0" applyNumberFormat="1" applyFont="1"/>
    <xf numFmtId="169" fontId="20" fillId="0" borderId="0" xfId="0" applyNumberFormat="1" applyFont="1" applyAlignment="1">
      <alignment horizontal="center"/>
    </xf>
    <xf numFmtId="169" fontId="10" fillId="0" borderId="0" xfId="0" applyNumberFormat="1" applyFont="1"/>
    <xf numFmtId="5" fontId="9" fillId="0" borderId="0" xfId="1" applyNumberFormat="1" applyFont="1"/>
    <xf numFmtId="173" fontId="9" fillId="0" borderId="0" xfId="1" applyNumberFormat="1" applyFont="1"/>
    <xf numFmtId="169" fontId="21" fillId="0" borderId="0" xfId="0" applyNumberFormat="1" applyFont="1"/>
    <xf numFmtId="173" fontId="9" fillId="0" borderId="15" xfId="1" applyNumberFormat="1" applyFont="1" applyBorder="1"/>
    <xf numFmtId="173" fontId="9" fillId="0" borderId="0" xfId="1" applyNumberFormat="1" applyFont="1" applyBorder="1"/>
    <xf numFmtId="10" fontId="21" fillId="0" borderId="0" xfId="0" applyNumberFormat="1" applyFont="1"/>
    <xf numFmtId="173" fontId="9" fillId="0" borderId="10" xfId="1" applyNumberFormat="1" applyFont="1" applyBorder="1"/>
    <xf numFmtId="164" fontId="9" fillId="0" borderId="12" xfId="1" applyNumberFormat="1" applyFont="1" applyBorder="1"/>
    <xf numFmtId="0" fontId="16" fillId="0" borderId="0" xfId="0" applyFont="1"/>
    <xf numFmtId="169" fontId="15" fillId="0" borderId="0" xfId="0" applyNumberFormat="1" applyFont="1"/>
    <xf numFmtId="0" fontId="22" fillId="0" borderId="0" xfId="0" applyFont="1"/>
    <xf numFmtId="0" fontId="0" fillId="0" borderId="0" xfId="0" applyFill="1"/>
    <xf numFmtId="3" fontId="13" fillId="0" borderId="0" xfId="0" applyNumberFormat="1" applyFont="1" applyFill="1" applyAlignment="1">
      <alignment horizontal="center"/>
    </xf>
    <xf numFmtId="3" fontId="13" fillId="0" borderId="0" xfId="0" applyNumberFormat="1" applyFont="1" applyFill="1"/>
    <xf numFmtId="0" fontId="9" fillId="0" borderId="0" xfId="0" applyFont="1" applyFill="1" applyBorder="1"/>
    <xf numFmtId="37" fontId="9" fillId="0" borderId="0" xfId="0" applyNumberFormat="1" applyFont="1" applyFill="1" applyBorder="1"/>
    <xf numFmtId="0" fontId="9" fillId="0" borderId="0" xfId="0" applyFont="1" applyFill="1"/>
    <xf numFmtId="0" fontId="14" fillId="0" borderId="0" xfId="0" applyFont="1" applyFill="1"/>
    <xf numFmtId="0" fontId="14" fillId="0" borderId="0" xfId="0" applyFont="1" applyFill="1" applyBorder="1"/>
    <xf numFmtId="0" fontId="23" fillId="0" borderId="0" xfId="0" applyFont="1" applyFill="1"/>
    <xf numFmtId="3" fontId="25" fillId="0" borderId="0" xfId="0" applyNumberFormat="1" applyFont="1" applyFill="1"/>
    <xf numFmtId="3" fontId="3" fillId="0" borderId="0" xfId="0" applyNumberFormat="1" applyFont="1" applyFill="1"/>
    <xf numFmtId="10" fontId="9" fillId="0" borderId="0" xfId="7" applyNumberFormat="1" applyFont="1"/>
    <xf numFmtId="3" fontId="3" fillId="0" borderId="0" xfId="5" applyNumberFormat="1" applyFont="1"/>
    <xf numFmtId="169" fontId="10" fillId="0" borderId="0" xfId="0" applyNumberFormat="1" applyFont="1" applyAlignment="1"/>
    <xf numFmtId="0" fontId="10" fillId="0" borderId="0" xfId="0" applyFont="1" applyAlignment="1">
      <alignment horizontal="centerContinuous"/>
    </xf>
    <xf numFmtId="0" fontId="26" fillId="0" borderId="0" xfId="0" applyFont="1"/>
    <xf numFmtId="0" fontId="26" fillId="0" borderId="0" xfId="0" applyFont="1" applyFill="1"/>
    <xf numFmtId="37" fontId="26" fillId="0" borderId="0" xfId="5" applyNumberFormat="1" applyFont="1"/>
    <xf numFmtId="0" fontId="27" fillId="0" borderId="0" xfId="0" applyFont="1" applyFill="1" applyBorder="1" applyAlignment="1">
      <alignment horizontal="center"/>
    </xf>
    <xf numFmtId="37" fontId="26" fillId="0" borderId="0" xfId="5" applyNumberFormat="1" applyFont="1" applyFill="1" applyBorder="1"/>
    <xf numFmtId="5" fontId="29" fillId="0" borderId="0" xfId="0" applyNumberFormat="1" applyFont="1" applyFill="1" applyBorder="1"/>
    <xf numFmtId="173" fontId="26" fillId="0" borderId="0" xfId="1" applyNumberFormat="1" applyFont="1" applyFill="1" applyBorder="1"/>
    <xf numFmtId="5" fontId="26" fillId="0" borderId="0" xfId="0" applyNumberFormat="1" applyFont="1" applyFill="1" applyBorder="1"/>
    <xf numFmtId="0" fontId="27" fillId="0" borderId="0" xfId="0" applyFont="1" applyFill="1" applyBorder="1"/>
    <xf numFmtId="37" fontId="27" fillId="0" borderId="0" xfId="5" applyNumberFormat="1" applyFont="1" applyFill="1" applyBorder="1" applyAlignment="1">
      <alignment horizontal="center"/>
    </xf>
    <xf numFmtId="0" fontId="10" fillId="0" borderId="0" xfId="0" applyFont="1"/>
    <xf numFmtId="5" fontId="9" fillId="0" borderId="0" xfId="0" applyNumberFormat="1" applyFont="1" applyBorder="1" applyAlignment="1">
      <alignment horizontal="right"/>
    </xf>
    <xf numFmtId="0" fontId="4" fillId="0" borderId="0" xfId="0" applyFont="1" applyAlignment="1">
      <alignment horizontal="right"/>
    </xf>
    <xf numFmtId="0" fontId="4" fillId="0" borderId="16" xfId="0" applyFont="1" applyBorder="1"/>
    <xf numFmtId="5" fontId="4" fillId="0" borderId="0" xfId="0" applyNumberFormat="1" applyFont="1" applyFill="1"/>
    <xf numFmtId="37" fontId="4" fillId="0" borderId="0" xfId="0" applyNumberFormat="1" applyFont="1" applyFill="1"/>
    <xf numFmtId="37" fontId="4" fillId="0" borderId="10" xfId="0" applyNumberFormat="1" applyFont="1" applyFill="1" applyBorder="1"/>
    <xf numFmtId="164" fontId="4" fillId="0" borderId="0" xfId="0" applyNumberFormat="1" applyFont="1" applyFill="1"/>
    <xf numFmtId="173" fontId="4" fillId="0" borderId="0" xfId="1" applyNumberFormat="1" applyFont="1" applyAlignment="1">
      <alignment horizontal="center"/>
    </xf>
    <xf numFmtId="173" fontId="4" fillId="0" borderId="0" xfId="1" applyNumberFormat="1" applyFont="1"/>
    <xf numFmtId="3" fontId="3" fillId="0" borderId="0" xfId="0" applyNumberFormat="1" applyFont="1"/>
    <xf numFmtId="0" fontId="10" fillId="0" borderId="10" xfId="0" applyFont="1" applyBorder="1" applyAlignment="1">
      <alignment horizontal="center"/>
    </xf>
    <xf numFmtId="0" fontId="10" fillId="0" borderId="0" xfId="0" applyFont="1" applyFill="1" applyAlignment="1">
      <alignment horizontal="center"/>
    </xf>
    <xf numFmtId="0" fontId="34" fillId="0" borderId="0" xfId="0" applyFont="1" applyAlignment="1">
      <alignment horizontal="center"/>
    </xf>
    <xf numFmtId="0" fontId="3" fillId="0" borderId="0" xfId="6" applyNumberFormat="1" applyFont="1" applyAlignment="1">
      <alignment horizontal="center"/>
    </xf>
    <xf numFmtId="0" fontId="10" fillId="0" borderId="0" xfId="0" applyFont="1" applyFill="1" applyAlignment="1">
      <alignment horizontal="left"/>
    </xf>
    <xf numFmtId="37" fontId="9" fillId="0" borderId="0" xfId="0" applyNumberFormat="1" applyFont="1"/>
    <xf numFmtId="169" fontId="5" fillId="0" borderId="0" xfId="0" applyNumberFormat="1" applyFont="1" applyFill="1" applyAlignment="1">
      <alignment horizontal="center"/>
    </xf>
    <xf numFmtId="0" fontId="3" fillId="0" borderId="0" xfId="0" applyFont="1" applyFill="1" applyAlignment="1">
      <alignment horizontal="center"/>
    </xf>
    <xf numFmtId="0" fontId="13" fillId="0" borderId="0" xfId="0" applyFont="1" applyFill="1" applyBorder="1"/>
    <xf numFmtId="5" fontId="9" fillId="0" borderId="0" xfId="0" applyNumberFormat="1" applyFont="1" applyFill="1" applyBorder="1"/>
    <xf numFmtId="5" fontId="10" fillId="0" borderId="0" xfId="0" applyNumberFormat="1" applyFont="1" applyFill="1" applyBorder="1"/>
    <xf numFmtId="10" fontId="9" fillId="0" borderId="0" xfId="0" applyNumberFormat="1" applyFont="1" applyFill="1" applyBorder="1"/>
    <xf numFmtId="173" fontId="9" fillId="0" borderId="0" xfId="1" applyNumberFormat="1" applyFont="1" applyFill="1" applyBorder="1"/>
    <xf numFmtId="173" fontId="9" fillId="0" borderId="0" xfId="0" applyNumberFormat="1" applyFont="1" applyFill="1" applyBorder="1"/>
    <xf numFmtId="3" fontId="36" fillId="0" borderId="0" xfId="6" applyNumberFormat="1" applyFont="1" applyFill="1"/>
    <xf numFmtId="3" fontId="36" fillId="0" borderId="0" xfId="5" applyNumberFormat="1" applyFont="1" applyFill="1"/>
    <xf numFmtId="0" fontId="36" fillId="0" borderId="0" xfId="6" applyNumberFormat="1" applyFont="1" applyAlignment="1">
      <alignment horizontal="left"/>
    </xf>
    <xf numFmtId="0" fontId="36" fillId="0" borderId="0" xfId="6" applyFont="1"/>
    <xf numFmtId="3" fontId="38" fillId="0" borderId="0" xfId="6" applyNumberFormat="1" applyFont="1" applyFill="1"/>
    <xf numFmtId="3" fontId="36" fillId="0" borderId="0" xfId="6" applyNumberFormat="1" applyFont="1"/>
    <xf numFmtId="3" fontId="37" fillId="0" borderId="0" xfId="6" applyNumberFormat="1" applyFont="1"/>
    <xf numFmtId="3" fontId="39" fillId="0" borderId="0" xfId="6" applyNumberFormat="1" applyFont="1"/>
    <xf numFmtId="3" fontId="37" fillId="0" borderId="0" xfId="6" applyNumberFormat="1" applyFont="1" applyAlignment="1"/>
    <xf numFmtId="0" fontId="37" fillId="0" borderId="0" xfId="6" applyNumberFormat="1" applyFont="1" applyAlignment="1">
      <alignment horizontal="center"/>
    </xf>
    <xf numFmtId="0" fontId="37" fillId="0" borderId="0" xfId="6" applyFont="1" applyAlignment="1">
      <alignment horizontal="center"/>
    </xf>
    <xf numFmtId="3" fontId="37" fillId="0" borderId="0" xfId="6" applyNumberFormat="1" applyFont="1" applyAlignment="1">
      <alignment horizontal="center"/>
    </xf>
    <xf numFmtId="0" fontId="37" fillId="0" borderId="1" xfId="6" applyNumberFormat="1" applyFont="1" applyBorder="1" applyAlignment="1">
      <alignment horizontal="center"/>
    </xf>
    <xf numFmtId="0" fontId="37" fillId="0" borderId="2" xfId="6" applyFont="1" applyBorder="1" applyAlignment="1">
      <alignment horizontal="center"/>
    </xf>
    <xf numFmtId="0" fontId="37" fillId="0" borderId="3" xfId="6" applyFont="1" applyBorder="1" applyAlignment="1">
      <alignment horizontal="center"/>
    </xf>
    <xf numFmtId="0" fontId="36" fillId="0" borderId="4" xfId="6" applyFont="1" applyBorder="1"/>
    <xf numFmtId="3" fontId="37" fillId="0" borderId="1" xfId="6" applyNumberFormat="1" applyFont="1" applyBorder="1" applyAlignment="1">
      <alignment horizontal="center"/>
    </xf>
    <xf numFmtId="0" fontId="37" fillId="0" borderId="5" xfId="6" applyNumberFormat="1" applyFont="1" applyBorder="1" applyAlignment="1">
      <alignment horizontal="center"/>
    </xf>
    <xf numFmtId="0" fontId="37" fillId="0" borderId="6" xfId="6" applyFont="1" applyBorder="1" applyAlignment="1">
      <alignment horizontal="center"/>
    </xf>
    <xf numFmtId="0" fontId="37" fillId="0" borderId="0" xfId="6" applyFont="1" applyBorder="1" applyAlignment="1">
      <alignment horizontal="center"/>
    </xf>
    <xf numFmtId="0" fontId="36" fillId="0" borderId="7" xfId="6" applyFont="1" applyBorder="1"/>
    <xf numFmtId="3" fontId="37" fillId="0" borderId="5" xfId="6" applyNumberFormat="1" applyFont="1" applyBorder="1" applyAlignment="1">
      <alignment horizontal="center"/>
    </xf>
    <xf numFmtId="0" fontId="37" fillId="0" borderId="8" xfId="6" applyNumberFormat="1" applyFont="1" applyBorder="1" applyAlignment="1">
      <alignment horizontal="center"/>
    </xf>
    <xf numFmtId="0" fontId="37" fillId="0" borderId="9" xfId="6" applyFont="1" applyBorder="1" applyAlignment="1">
      <alignment horizontal="center"/>
    </xf>
    <xf numFmtId="0" fontId="37" fillId="0" borderId="10" xfId="6" applyFont="1" applyBorder="1" applyAlignment="1">
      <alignment horizontal="center"/>
    </xf>
    <xf numFmtId="0" fontId="37" fillId="0" borderId="11" xfId="6" applyFont="1" applyBorder="1" applyAlignment="1">
      <alignment horizontal="center"/>
    </xf>
    <xf numFmtId="3" fontId="37" fillId="0" borderId="8" xfId="6" applyNumberFormat="1" applyFont="1" applyBorder="1" applyAlignment="1">
      <alignment horizontal="center"/>
    </xf>
    <xf numFmtId="0" fontId="36" fillId="0" borderId="0" xfId="6" applyNumberFormat="1" applyFont="1" applyAlignment="1">
      <alignment horizontal="center"/>
    </xf>
    <xf numFmtId="5" fontId="36" fillId="0" borderId="0" xfId="6" applyNumberFormat="1" applyFont="1"/>
    <xf numFmtId="37" fontId="36" fillId="0" borderId="0" xfId="6" applyNumberFormat="1" applyFont="1"/>
    <xf numFmtId="0" fontId="36" fillId="0" borderId="0" xfId="6" applyNumberFormat="1" applyFont="1" applyBorder="1" applyAlignment="1">
      <alignment horizontal="center"/>
    </xf>
    <xf numFmtId="37" fontId="36" fillId="0" borderId="0" xfId="6" applyNumberFormat="1" applyFont="1" applyBorder="1"/>
    <xf numFmtId="0" fontId="36" fillId="0" borderId="0" xfId="6" applyFont="1" applyBorder="1"/>
    <xf numFmtId="0" fontId="36" fillId="0" borderId="0" xfId="6" applyNumberFormat="1" applyFont="1" applyFill="1" applyAlignment="1">
      <alignment horizontal="left"/>
    </xf>
    <xf numFmtId="0" fontId="36" fillId="0" borderId="0" xfId="6" applyFont="1" applyFill="1"/>
    <xf numFmtId="0" fontId="36" fillId="0" borderId="0" xfId="5" applyFont="1" applyFill="1"/>
    <xf numFmtId="10" fontId="36" fillId="0" borderId="0" xfId="7" applyNumberFormat="1" applyFont="1" applyFill="1"/>
    <xf numFmtId="0" fontId="36" fillId="0" borderId="0" xfId="6" applyNumberFormat="1" applyFont="1" applyFill="1" applyAlignment="1">
      <alignment horizontal="center"/>
    </xf>
    <xf numFmtId="0" fontId="36" fillId="0" borderId="0" xfId="5" applyFont="1" applyFill="1" applyAlignment="1">
      <alignment horizontal="right"/>
    </xf>
    <xf numFmtId="10" fontId="30" fillId="0" borderId="0" xfId="7" applyNumberFormat="1" applyFont="1" applyFill="1" applyBorder="1"/>
    <xf numFmtId="10" fontId="29" fillId="0" borderId="0" xfId="7" applyNumberFormat="1" applyFont="1" applyFill="1" applyBorder="1"/>
    <xf numFmtId="170" fontId="26" fillId="0" borderId="0" xfId="7" applyNumberFormat="1" applyFont="1" applyFill="1" applyBorder="1"/>
    <xf numFmtId="10" fontId="26" fillId="0" borderId="0" xfId="7" applyNumberFormat="1" applyFont="1" applyFill="1" applyBorder="1"/>
    <xf numFmtId="0" fontId="26" fillId="0" borderId="0" xfId="0" applyFont="1" applyFill="1" applyBorder="1"/>
    <xf numFmtId="37" fontId="26" fillId="0" borderId="0" xfId="3" applyNumberFormat="1" applyFont="1" applyFill="1" applyBorder="1"/>
    <xf numFmtId="37" fontId="26" fillId="0" borderId="0" xfId="3" applyNumberFormat="1" applyFont="1" applyFill="1" applyBorder="1" applyAlignment="1">
      <alignment horizontal="center"/>
    </xf>
    <xf numFmtId="0" fontId="36" fillId="0" borderId="0" xfId="6" applyFont="1" applyAlignment="1">
      <alignment horizontal="left"/>
    </xf>
    <xf numFmtId="4" fontId="37" fillId="0" borderId="0" xfId="6" applyNumberFormat="1" applyFont="1" applyAlignment="1">
      <alignment horizontal="center"/>
    </xf>
    <xf numFmtId="4" fontId="9" fillId="0" borderId="0" xfId="0" applyNumberFormat="1" applyFont="1" applyFill="1" applyAlignment="1">
      <alignment horizontal="center"/>
    </xf>
    <xf numFmtId="0" fontId="4" fillId="0" borderId="0" xfId="0" applyFont="1" applyAlignment="1">
      <alignment horizontal="center"/>
    </xf>
    <xf numFmtId="41" fontId="36" fillId="0" borderId="0" xfId="6" applyNumberFormat="1" applyFont="1"/>
    <xf numFmtId="41" fontId="36" fillId="0" borderId="10" xfId="6" applyNumberFormat="1" applyFont="1" applyBorder="1"/>
    <xf numFmtId="41" fontId="36" fillId="0" borderId="0" xfId="6" applyNumberFormat="1" applyFont="1" applyFill="1"/>
    <xf numFmtId="41" fontId="36" fillId="0" borderId="15" xfId="6" applyNumberFormat="1" applyFont="1" applyBorder="1"/>
    <xf numFmtId="41" fontId="36" fillId="0" borderId="0" xfId="6" applyNumberFormat="1" applyFont="1" applyBorder="1"/>
    <xf numFmtId="41" fontId="36" fillId="0" borderId="0" xfId="5" applyNumberFormat="1" applyFont="1" applyFill="1"/>
    <xf numFmtId="41" fontId="41" fillId="0" borderId="0" xfId="5" applyNumberFormat="1" applyFont="1" applyFill="1"/>
    <xf numFmtId="41" fontId="3" fillId="0" borderId="0" xfId="5" applyNumberFormat="1" applyFont="1" applyFill="1"/>
    <xf numFmtId="3" fontId="9" fillId="0" borderId="0" xfId="13" applyNumberFormat="1" applyFont="1"/>
    <xf numFmtId="3" fontId="9" fillId="0" borderId="0" xfId="13" applyNumberFormat="1" applyFont="1" applyBorder="1" applyAlignment="1">
      <alignment horizontal="centerContinuous"/>
    </xf>
    <xf numFmtId="3" fontId="9" fillId="0" borderId="0" xfId="13" applyNumberFormat="1" applyFont="1" applyAlignment="1">
      <alignment horizontal="center"/>
    </xf>
    <xf numFmtId="4" fontId="9" fillId="0" borderId="0" xfId="13" applyNumberFormat="1" applyFont="1" applyAlignment="1">
      <alignment horizontal="center"/>
    </xf>
    <xf numFmtId="3" fontId="9" fillId="0" borderId="0" xfId="13" applyNumberFormat="1" applyFont="1" applyAlignment="1">
      <alignment horizontal="left"/>
    </xf>
    <xf numFmtId="0" fontId="9" fillId="0" borderId="0" xfId="13" applyFont="1"/>
    <xf numFmtId="0" fontId="9" fillId="0" borderId="0" xfId="13" applyFont="1" applyAlignment="1">
      <alignment horizontal="center"/>
    </xf>
    <xf numFmtId="3" fontId="9" fillId="0" borderId="10" xfId="13" applyNumberFormat="1" applyFont="1" applyBorder="1" applyAlignment="1">
      <alignment horizontal="left"/>
    </xf>
    <xf numFmtId="3" fontId="9" fillId="0" borderId="10" xfId="13" applyNumberFormat="1" applyFont="1" applyBorder="1" applyAlignment="1">
      <alignment horizontal="center"/>
    </xf>
    <xf numFmtId="164" fontId="9" fillId="0" borderId="0" xfId="13" applyNumberFormat="1" applyFont="1"/>
    <xf numFmtId="4" fontId="22" fillId="0" borderId="0" xfId="13" applyNumberFormat="1" applyFont="1" applyAlignment="1">
      <alignment horizontal="center"/>
    </xf>
    <xf numFmtId="3" fontId="22" fillId="0" borderId="0" xfId="13" applyNumberFormat="1" applyFont="1" applyAlignment="1">
      <alignment horizontal="left"/>
    </xf>
    <xf numFmtId="164" fontId="15" fillId="0" borderId="0" xfId="13" applyNumberFormat="1" applyFont="1"/>
    <xf numFmtId="3" fontId="15" fillId="0" borderId="0" xfId="13" applyNumberFormat="1" applyFont="1"/>
    <xf numFmtId="164" fontId="9" fillId="0" borderId="3" xfId="13" applyNumberFormat="1" applyFont="1" applyBorder="1"/>
    <xf numFmtId="164" fontId="9" fillId="0" borderId="0" xfId="13" applyNumberFormat="1" applyFont="1" applyAlignment="1">
      <alignment horizontal="center"/>
    </xf>
    <xf numFmtId="164" fontId="9" fillId="0" borderId="0" xfId="13" applyNumberFormat="1" applyFont="1" applyFill="1"/>
    <xf numFmtId="10" fontId="9" fillId="0" borderId="0" xfId="13" applyNumberFormat="1" applyFont="1" applyFill="1"/>
    <xf numFmtId="0" fontId="22" fillId="0" borderId="0" xfId="13" applyFont="1"/>
    <xf numFmtId="3" fontId="9" fillId="0" borderId="0" xfId="13" applyNumberFormat="1" applyFont="1" applyFill="1" applyBorder="1"/>
    <xf numFmtId="164" fontId="9" fillId="0" borderId="3" xfId="13" applyNumberFormat="1" applyFont="1" applyFill="1" applyBorder="1"/>
    <xf numFmtId="10" fontId="9" fillId="0" borderId="3" xfId="13" applyNumberFormat="1" applyFont="1" applyFill="1" applyBorder="1"/>
    <xf numFmtId="3" fontId="9" fillId="0" borderId="0" xfId="13" applyNumberFormat="1" applyFont="1" applyFill="1"/>
    <xf numFmtId="170" fontId="9" fillId="0" borderId="0" xfId="7" applyNumberFormat="1" applyFont="1" applyFill="1"/>
    <xf numFmtId="170" fontId="9" fillId="0" borderId="0" xfId="13" applyNumberFormat="1" applyFont="1" applyFill="1"/>
    <xf numFmtId="170" fontId="9" fillId="0" borderId="3" xfId="13" applyNumberFormat="1" applyFont="1" applyFill="1" applyBorder="1"/>
    <xf numFmtId="4" fontId="10" fillId="0" borderId="0" xfId="13" applyNumberFormat="1" applyFont="1" applyAlignment="1">
      <alignment horizontal="centerContinuous"/>
    </xf>
    <xf numFmtId="3" fontId="9" fillId="0" borderId="0" xfId="13" applyNumberFormat="1" applyFont="1" applyAlignment="1">
      <alignment horizontal="centerContinuous"/>
    </xf>
    <xf numFmtId="0" fontId="9" fillId="0" borderId="0" xfId="13" applyFont="1" applyAlignment="1">
      <alignment horizontal="centerContinuous"/>
    </xf>
    <xf numFmtId="4" fontId="42" fillId="0" borderId="0" xfId="13" applyNumberFormat="1" applyFont="1" applyBorder="1" applyAlignment="1">
      <alignment horizontal="centerContinuous"/>
    </xf>
    <xf numFmtId="4" fontId="9" fillId="0" borderId="0" xfId="13" applyNumberFormat="1" applyFont="1" applyAlignment="1">
      <alignment horizontal="centerContinuous"/>
    </xf>
    <xf numFmtId="37" fontId="9" fillId="0" borderId="0" xfId="13" applyNumberFormat="1" applyFont="1" applyAlignment="1">
      <alignment horizontal="right"/>
    </xf>
    <xf numFmtId="3" fontId="43" fillId="0" borderId="0" xfId="13" applyNumberFormat="1" applyFont="1"/>
    <xf numFmtId="0" fontId="16" fillId="0" borderId="0" xfId="13" applyFont="1"/>
    <xf numFmtId="10" fontId="16" fillId="0" borderId="0" xfId="13" applyNumberFormat="1" applyFont="1"/>
    <xf numFmtId="10" fontId="22" fillId="0" borderId="10" xfId="13" applyNumberFormat="1" applyFont="1" applyFill="1" applyBorder="1"/>
    <xf numFmtId="3" fontId="43" fillId="0" borderId="0" xfId="13" applyNumberFormat="1" applyFont="1" applyFill="1"/>
    <xf numFmtId="3" fontId="15" fillId="0" borderId="10" xfId="13" applyNumberFormat="1" applyFont="1" applyBorder="1"/>
    <xf numFmtId="3" fontId="10" fillId="0" borderId="0" xfId="13" applyNumberFormat="1" applyFont="1"/>
    <xf numFmtId="171" fontId="9" fillId="0" borderId="0" xfId="13" applyNumberFormat="1" applyFont="1"/>
    <xf numFmtId="172" fontId="9" fillId="0" borderId="10" xfId="13" applyNumberFormat="1" applyFont="1" applyBorder="1"/>
    <xf numFmtId="164" fontId="9" fillId="0" borderId="17" xfId="13" applyNumberFormat="1" applyFont="1" applyBorder="1"/>
    <xf numFmtId="4" fontId="9" fillId="0" borderId="0" xfId="13" applyNumberFormat="1" applyFont="1"/>
    <xf numFmtId="10" fontId="9" fillId="0" borderId="0" xfId="13" applyNumberFormat="1" applyFont="1"/>
    <xf numFmtId="10" fontId="9" fillId="0" borderId="0" xfId="13" applyNumberFormat="1" applyFont="1" applyBorder="1"/>
    <xf numFmtId="3" fontId="9" fillId="0" borderId="0" xfId="13" applyNumberFormat="1" applyFont="1" applyBorder="1"/>
    <xf numFmtId="10" fontId="9" fillId="0" borderId="3" xfId="13" applyNumberFormat="1" applyFont="1" applyBorder="1"/>
    <xf numFmtId="170" fontId="9" fillId="0" borderId="0" xfId="7" applyNumberFormat="1" applyFont="1"/>
    <xf numFmtId="170" fontId="9" fillId="0" borderId="0" xfId="13" applyNumberFormat="1" applyFont="1"/>
    <xf numFmtId="170" fontId="9" fillId="0" borderId="3" xfId="13" applyNumberFormat="1" applyFont="1" applyBorder="1"/>
    <xf numFmtId="0" fontId="9" fillId="0" borderId="0" xfId="0" applyFont="1" applyAlignment="1">
      <alignment horizontal="left"/>
    </xf>
    <xf numFmtId="4" fontId="9" fillId="0" borderId="0" xfId="0" applyNumberFormat="1" applyFont="1" applyFill="1" applyAlignment="1">
      <alignment horizontal="left"/>
    </xf>
    <xf numFmtId="4" fontId="9" fillId="0" borderId="0" xfId="0" applyNumberFormat="1" applyFont="1" applyAlignment="1">
      <alignment horizontal="left"/>
    </xf>
    <xf numFmtId="0" fontId="4" fillId="0" borderId="0" xfId="0" applyFont="1" applyAlignment="1">
      <alignment horizontal="center"/>
    </xf>
    <xf numFmtId="10" fontId="36" fillId="0" borderId="0" xfId="7" applyNumberFormat="1" applyFont="1"/>
    <xf numFmtId="42" fontId="36" fillId="0" borderId="0" xfId="6" applyNumberFormat="1" applyFont="1"/>
    <xf numFmtId="37" fontId="4" fillId="0" borderId="15" xfId="0" applyNumberFormat="1" applyFont="1" applyBorder="1"/>
    <xf numFmtId="41" fontId="4" fillId="0" borderId="10" xfId="0" applyNumberFormat="1" applyFont="1" applyBorder="1"/>
    <xf numFmtId="41" fontId="3" fillId="0" borderId="0" xfId="6" applyNumberFormat="1" applyFont="1"/>
    <xf numFmtId="41" fontId="3" fillId="0" borderId="0" xfId="1" applyNumberFormat="1" applyFont="1"/>
    <xf numFmtId="41" fontId="3" fillId="0" borderId="10" xfId="6" applyNumberFormat="1" applyFont="1" applyBorder="1"/>
    <xf numFmtId="41" fontId="3" fillId="0" borderId="10" xfId="1" applyNumberFormat="1" applyFont="1" applyBorder="1"/>
    <xf numFmtId="41" fontId="3" fillId="0" borderId="10" xfId="6" applyNumberFormat="1" applyFont="1" applyFill="1" applyBorder="1"/>
    <xf numFmtId="41" fontId="3" fillId="0" borderId="0" xfId="1" applyNumberFormat="1" applyFont="1" applyBorder="1"/>
    <xf numFmtId="41" fontId="3" fillId="0" borderId="15" xfId="6" applyNumberFormat="1" applyFont="1" applyBorder="1"/>
    <xf numFmtId="41" fontId="3" fillId="0" borderId="0" xfId="0" applyNumberFormat="1" applyFont="1"/>
    <xf numFmtId="41" fontId="3" fillId="0" borderId="12" xfId="6" applyNumberFormat="1" applyFont="1" applyBorder="1"/>
    <xf numFmtId="41" fontId="3" fillId="0" borderId="0" xfId="6" applyNumberFormat="1" applyFont="1" applyBorder="1"/>
    <xf numFmtId="169" fontId="10" fillId="0" borderId="0" xfId="0" applyNumberFormat="1" applyFont="1" applyAlignment="1">
      <alignment horizontal="center"/>
    </xf>
    <xf numFmtId="175" fontId="0" fillId="0" borderId="0" xfId="0" applyNumberFormat="1" applyAlignment="1">
      <alignment horizontal="left"/>
    </xf>
    <xf numFmtId="0" fontId="0" fillId="0" borderId="0" xfId="0" applyAlignment="1">
      <alignment horizontal="left"/>
    </xf>
    <xf numFmtId="3" fontId="0" fillId="0" borderId="0" xfId="0" applyNumberFormat="1" applyAlignment="1">
      <alignment horizontal="left"/>
    </xf>
    <xf numFmtId="176" fontId="0" fillId="0" borderId="0" xfId="0" applyNumberFormat="1" applyAlignment="1">
      <alignment horizontal="left"/>
    </xf>
    <xf numFmtId="176" fontId="0" fillId="0" borderId="0" xfId="0" applyNumberFormat="1" applyFill="1" applyAlignment="1">
      <alignment horizontal="left"/>
    </xf>
    <xf numFmtId="3" fontId="0" fillId="0" borderId="0" xfId="0" applyNumberFormat="1" applyFill="1" applyAlignment="1">
      <alignment horizontal="left"/>
    </xf>
    <xf numFmtId="175" fontId="0" fillId="0" borderId="0" xfId="0" quotePrefix="1" applyNumberFormat="1" applyAlignment="1">
      <alignment horizontal="left"/>
    </xf>
    <xf numFmtId="49" fontId="0" fillId="0" borderId="0" xfId="0" applyNumberFormat="1" applyAlignment="1">
      <alignment horizontal="left"/>
    </xf>
    <xf numFmtId="175" fontId="45" fillId="0" borderId="0" xfId="0" applyNumberFormat="1" applyFont="1"/>
    <xf numFmtId="3" fontId="45" fillId="0" borderId="0" xfId="0" applyNumberFormat="1" applyFont="1"/>
    <xf numFmtId="49" fontId="45" fillId="0" borderId="0" xfId="0" applyNumberFormat="1" applyFont="1" applyFill="1" applyAlignment="1">
      <alignment horizontal="center"/>
    </xf>
    <xf numFmtId="3" fontId="45" fillId="0" borderId="0" xfId="0" applyNumberFormat="1" applyFont="1" applyFill="1"/>
    <xf numFmtId="175" fontId="45" fillId="0" borderId="0" xfId="0" applyNumberFormat="1" applyFont="1" applyAlignment="1">
      <alignment horizontal="center"/>
    </xf>
    <xf numFmtId="176" fontId="45" fillId="0" borderId="0" xfId="0" applyNumberFormat="1" applyFont="1"/>
    <xf numFmtId="176" fontId="45" fillId="0" borderId="0" xfId="0" applyNumberFormat="1" applyFont="1" applyAlignment="1">
      <alignment horizontal="center"/>
    </xf>
    <xf numFmtId="0" fontId="45" fillId="0" borderId="0" xfId="0" applyFont="1"/>
    <xf numFmtId="175" fontId="45" fillId="4" borderId="0" xfId="0" applyNumberFormat="1" applyFont="1" applyFill="1"/>
    <xf numFmtId="3" fontId="45" fillId="4" borderId="0" xfId="0" applyNumberFormat="1" applyFont="1" applyFill="1"/>
    <xf numFmtId="176" fontId="45" fillId="4" borderId="0" xfId="0" applyNumberFormat="1" applyFont="1" applyFill="1" applyAlignment="1">
      <alignment horizontal="center"/>
    </xf>
    <xf numFmtId="175" fontId="0" fillId="0" borderId="0" xfId="0" applyNumberFormat="1" applyAlignment="1">
      <alignment horizontal="center"/>
    </xf>
    <xf numFmtId="3" fontId="0" fillId="0" borderId="0" xfId="0" applyNumberFormat="1"/>
    <xf numFmtId="176" fontId="0" fillId="0" borderId="0" xfId="0" applyNumberFormat="1" applyAlignment="1">
      <alignment horizontal="center"/>
    </xf>
    <xf numFmtId="176" fontId="0" fillId="4" borderId="0" xfId="0" applyNumberFormat="1" applyFill="1" applyAlignment="1">
      <alignment horizontal="center"/>
    </xf>
    <xf numFmtId="3" fontId="0" fillId="4" borderId="0" xfId="0" applyNumberFormat="1" applyFill="1"/>
    <xf numFmtId="175" fontId="0" fillId="0" borderId="0" xfId="0" applyNumberFormat="1"/>
    <xf numFmtId="0" fontId="0" fillId="0" borderId="0" xfId="0" applyFont="1"/>
    <xf numFmtId="175" fontId="0" fillId="0" borderId="0" xfId="0" applyNumberFormat="1" applyFont="1"/>
    <xf numFmtId="0" fontId="4" fillId="0" borderId="0" xfId="0" applyFont="1" applyFill="1" applyAlignment="1">
      <alignment horizontal="center"/>
    </xf>
    <xf numFmtId="0" fontId="3" fillId="0" borderId="0" xfId="6" applyNumberFormat="1" applyFont="1" applyFill="1" applyAlignment="1">
      <alignment horizontal="center"/>
    </xf>
    <xf numFmtId="5" fontId="37" fillId="0" borderId="0" xfId="6" applyNumberFormat="1" applyFont="1"/>
    <xf numFmtId="42" fontId="36" fillId="0" borderId="12" xfId="6" applyNumberFormat="1" applyFont="1" applyBorder="1"/>
    <xf numFmtId="42" fontId="37" fillId="0" borderId="12" xfId="6" applyNumberFormat="1" applyFont="1" applyBorder="1"/>
    <xf numFmtId="0" fontId="15" fillId="0" borderId="0" xfId="0" applyFont="1" applyFill="1"/>
    <xf numFmtId="177" fontId="36" fillId="0" borderId="0" xfId="5" applyNumberFormat="1" applyFont="1" applyFill="1"/>
    <xf numFmtId="10" fontId="36" fillId="2" borderId="0" xfId="7" applyNumberFormat="1" applyFont="1" applyFill="1"/>
    <xf numFmtId="37" fontId="3" fillId="0" borderId="0" xfId="6" applyNumberFormat="1" applyFont="1" applyFill="1"/>
    <xf numFmtId="41" fontId="3" fillId="0" borderId="0" xfId="6" applyNumberFormat="1" applyFont="1" applyFill="1"/>
    <xf numFmtId="41" fontId="3" fillId="0" borderId="0" xfId="1" applyNumberFormat="1" applyFont="1" applyFill="1"/>
    <xf numFmtId="41" fontId="3" fillId="0" borderId="10" xfId="1" applyNumberFormat="1" applyFont="1" applyFill="1" applyBorder="1"/>
    <xf numFmtId="0" fontId="10" fillId="0" borderId="0" xfId="0" applyFont="1" applyAlignment="1"/>
    <xf numFmtId="0" fontId="10" fillId="0" borderId="0" xfId="0" applyFont="1" applyFill="1"/>
    <xf numFmtId="5" fontId="9" fillId="0" borderId="0" xfId="1" applyNumberFormat="1" applyFont="1" applyBorder="1"/>
    <xf numFmtId="164" fontId="9" fillId="0" borderId="0" xfId="1" applyNumberFormat="1" applyFont="1" applyBorder="1"/>
    <xf numFmtId="0" fontId="9" fillId="0" borderId="19" xfId="0" applyFont="1" applyFill="1" applyBorder="1"/>
    <xf numFmtId="0" fontId="9" fillId="0" borderId="21" xfId="0" applyFont="1" applyFill="1" applyBorder="1"/>
    <xf numFmtId="0" fontId="9" fillId="0" borderId="22" xfId="0" applyFont="1" applyBorder="1"/>
    <xf numFmtId="0" fontId="9" fillId="0" borderId="23" xfId="0" applyFont="1" applyBorder="1"/>
    <xf numFmtId="0" fontId="9" fillId="0" borderId="25" xfId="0" applyFont="1" applyBorder="1"/>
    <xf numFmtId="0" fontId="9" fillId="0" borderId="27" xfId="0" applyFont="1" applyBorder="1"/>
    <xf numFmtId="0" fontId="9" fillId="0" borderId="22" xfId="0" applyFont="1" applyFill="1" applyBorder="1"/>
    <xf numFmtId="0" fontId="9" fillId="0" borderId="23" xfId="0" applyFont="1" applyFill="1" applyBorder="1"/>
    <xf numFmtId="0" fontId="10" fillId="0" borderId="22" xfId="0" applyFont="1" applyBorder="1"/>
    <xf numFmtId="174" fontId="10" fillId="0" borderId="23" xfId="2" applyNumberFormat="1" applyFont="1" applyBorder="1"/>
    <xf numFmtId="0" fontId="10" fillId="0" borderId="0" xfId="0" applyFont="1" applyBorder="1" applyAlignment="1">
      <alignment horizontal="center"/>
    </xf>
    <xf numFmtId="169" fontId="9" fillId="0" borderId="0" xfId="0" applyNumberFormat="1" applyFont="1"/>
    <xf numFmtId="169" fontId="9" fillId="0" borderId="15" xfId="0" applyNumberFormat="1" applyFont="1" applyBorder="1"/>
    <xf numFmtId="166" fontId="46" fillId="0" borderId="0" xfId="0" applyNumberFormat="1" applyFont="1" applyFill="1"/>
    <xf numFmtId="0" fontId="11" fillId="0" borderId="0" xfId="0" applyFont="1" applyBorder="1"/>
    <xf numFmtId="41" fontId="5" fillId="0" borderId="1" xfId="20" applyNumberFormat="1" applyFont="1" applyFill="1" applyBorder="1" applyAlignment="1">
      <alignment horizontal="center"/>
    </xf>
    <xf numFmtId="10" fontId="9" fillId="0" borderId="0" xfId="0" applyNumberFormat="1"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applyAlignment="1">
      <alignment horizontal="center"/>
    </xf>
    <xf numFmtId="3" fontId="5" fillId="0" borderId="0" xfId="6" applyNumberFormat="1" applyFont="1"/>
    <xf numFmtId="3" fontId="3" fillId="0" borderId="0" xfId="6" applyNumberFormat="1" applyFont="1" applyFill="1"/>
    <xf numFmtId="3" fontId="5" fillId="0" borderId="0" xfId="6" applyNumberFormat="1" applyFont="1" applyFill="1" applyAlignment="1">
      <alignment horizontal="center"/>
    </xf>
    <xf numFmtId="41" fontId="3" fillId="0" borderId="0" xfId="5" applyNumberFormat="1" applyFont="1" applyFill="1" applyAlignment="1">
      <alignment horizontal="center"/>
    </xf>
    <xf numFmtId="3" fontId="5" fillId="0" borderId="0" xfId="6" applyNumberFormat="1" applyFont="1" applyAlignment="1">
      <alignment horizontal="center"/>
    </xf>
    <xf numFmtId="0" fontId="3" fillId="0" borderId="0" xfId="6" applyFont="1" applyAlignment="1">
      <alignment horizontal="center"/>
    </xf>
    <xf numFmtId="3" fontId="5" fillId="0" borderId="0" xfId="6" applyNumberFormat="1" applyFont="1" applyFill="1" applyBorder="1" applyAlignment="1">
      <alignment horizontal="center"/>
    </xf>
    <xf numFmtId="0" fontId="5" fillId="0" borderId="0" xfId="6" applyNumberFormat="1" applyFont="1" applyAlignment="1">
      <alignment horizontal="center"/>
    </xf>
    <xf numFmtId="0" fontId="5" fillId="0" borderId="0" xfId="6" applyFont="1" applyAlignment="1">
      <alignment horizontal="center"/>
    </xf>
    <xf numFmtId="0" fontId="5" fillId="0" borderId="1" xfId="6" applyNumberFormat="1" applyFont="1" applyBorder="1" applyAlignment="1">
      <alignment horizontal="center"/>
    </xf>
    <xf numFmtId="0" fontId="5" fillId="0" borderId="2" xfId="6" applyFont="1" applyBorder="1" applyAlignment="1">
      <alignment horizontal="center"/>
    </xf>
    <xf numFmtId="0" fontId="5" fillId="0" borderId="3" xfId="6" applyFont="1" applyBorder="1" applyAlignment="1">
      <alignment horizontal="center"/>
    </xf>
    <xf numFmtId="0" fontId="3" fillId="0" borderId="4" xfId="6" applyFont="1" applyBorder="1"/>
    <xf numFmtId="3" fontId="5" fillId="0" borderId="1" xfId="6" applyNumberFormat="1" applyFont="1" applyBorder="1" applyAlignment="1">
      <alignment horizontal="center"/>
    </xf>
    <xf numFmtId="3" fontId="5" fillId="0" borderId="1" xfId="6" applyNumberFormat="1" applyFont="1" applyFill="1" applyBorder="1" applyAlignment="1">
      <alignment horizontal="center"/>
    </xf>
    <xf numFmtId="0" fontId="5" fillId="0" borderId="5" xfId="6" applyNumberFormat="1" applyFont="1" applyBorder="1" applyAlignment="1">
      <alignment horizontal="center"/>
    </xf>
    <xf numFmtId="0" fontId="5" fillId="0" borderId="6" xfId="6" applyFont="1" applyBorder="1" applyAlignment="1">
      <alignment horizontal="center"/>
    </xf>
    <xf numFmtId="0" fontId="5" fillId="0" borderId="0" xfId="6" applyFont="1" applyBorder="1" applyAlignment="1">
      <alignment horizontal="center"/>
    </xf>
    <xf numFmtId="0" fontId="3" fillId="0" borderId="7" xfId="6" applyFont="1" applyBorder="1"/>
    <xf numFmtId="3" fontId="5" fillId="0" borderId="5" xfId="6" applyNumberFormat="1" applyFont="1" applyFill="1" applyBorder="1" applyAlignment="1">
      <alignment horizontal="center"/>
    </xf>
    <xf numFmtId="3" fontId="5" fillId="0" borderId="5" xfId="5" applyNumberFormat="1" applyFont="1" applyBorder="1" applyAlignment="1">
      <alignment horizontal="center"/>
    </xf>
    <xf numFmtId="0" fontId="5" fillId="0" borderId="8" xfId="6" applyNumberFormat="1" applyFont="1" applyBorder="1" applyAlignment="1">
      <alignment horizontal="center"/>
    </xf>
    <xf numFmtId="0" fontId="5" fillId="0" borderId="9" xfId="6" applyFont="1" applyBorder="1" applyAlignment="1">
      <alignment horizontal="center"/>
    </xf>
    <xf numFmtId="0" fontId="5" fillId="0" borderId="10" xfId="6" applyFont="1" applyBorder="1" applyAlignment="1">
      <alignment horizontal="center"/>
    </xf>
    <xf numFmtId="0" fontId="5" fillId="0" borderId="11" xfId="6" applyFont="1" applyBorder="1" applyAlignment="1">
      <alignment horizontal="center"/>
    </xf>
    <xf numFmtId="3" fontId="5" fillId="0" borderId="8" xfId="6" applyNumberFormat="1" applyFont="1" applyFill="1" applyBorder="1" applyAlignment="1">
      <alignment horizontal="center"/>
    </xf>
    <xf numFmtId="3" fontId="5" fillId="0" borderId="8" xfId="5" applyNumberFormat="1" applyFont="1" applyBorder="1" applyAlignment="1">
      <alignment horizontal="center"/>
    </xf>
    <xf numFmtId="3" fontId="5" fillId="0" borderId="8" xfId="6" quotePrefix="1" applyNumberFormat="1" applyFont="1" applyBorder="1" applyAlignment="1">
      <alignment horizontal="center"/>
    </xf>
    <xf numFmtId="0" fontId="3" fillId="0" borderId="0" xfId="6" applyFont="1" applyAlignment="1">
      <alignment horizontal="left"/>
    </xf>
    <xf numFmtId="4" fontId="5" fillId="0" borderId="0" xfId="6" applyNumberFormat="1" applyFont="1" applyFill="1" applyBorder="1" applyAlignment="1">
      <alignment horizontal="center"/>
    </xf>
    <xf numFmtId="3" fontId="3" fillId="0" borderId="0" xfId="6" applyNumberFormat="1" applyFont="1" applyFill="1" applyBorder="1"/>
    <xf numFmtId="42" fontId="5" fillId="0" borderId="0" xfId="6" applyNumberFormat="1" applyFont="1"/>
    <xf numFmtId="41" fontId="5" fillId="0" borderId="0" xfId="6" applyNumberFormat="1" applyFont="1"/>
    <xf numFmtId="41" fontId="3" fillId="0" borderId="0" xfId="4" applyNumberFormat="1" applyFont="1" applyFill="1" applyBorder="1"/>
    <xf numFmtId="41" fontId="3" fillId="0" borderId="10" xfId="4" applyNumberFormat="1" applyFont="1" applyFill="1" applyBorder="1"/>
    <xf numFmtId="41" fontId="5" fillId="0" borderId="10" xfId="6" applyNumberFormat="1" applyFont="1" applyBorder="1"/>
    <xf numFmtId="0" fontId="3" fillId="0" borderId="0" xfId="6" applyFont="1" applyBorder="1"/>
    <xf numFmtId="42" fontId="5" fillId="0" borderId="12" xfId="6" applyNumberFormat="1" applyFont="1" applyBorder="1"/>
    <xf numFmtId="41" fontId="5" fillId="0" borderId="15" xfId="6" applyNumberFormat="1" applyFont="1" applyBorder="1"/>
    <xf numFmtId="41" fontId="5" fillId="0" borderId="0" xfId="6" applyNumberFormat="1" applyFont="1" applyBorder="1"/>
    <xf numFmtId="5" fontId="5" fillId="0" borderId="0" xfId="6" applyNumberFormat="1" applyFont="1"/>
    <xf numFmtId="10" fontId="5" fillId="0" borderId="0" xfId="7" applyNumberFormat="1" applyFont="1"/>
    <xf numFmtId="0" fontId="3" fillId="0" borderId="0" xfId="6" applyNumberFormat="1" applyFont="1" applyFill="1" applyAlignment="1">
      <alignment horizontal="left"/>
    </xf>
    <xf numFmtId="0" fontId="3" fillId="0" borderId="0" xfId="6" applyFont="1" applyFill="1"/>
    <xf numFmtId="0" fontId="3" fillId="0" borderId="0" xfId="5" applyFont="1" applyFill="1"/>
    <xf numFmtId="41" fontId="5" fillId="0" borderId="0" xfId="6" applyNumberFormat="1" applyFont="1" applyFill="1"/>
    <xf numFmtId="41" fontId="5" fillId="0" borderId="0" xfId="5" applyNumberFormat="1" applyFont="1" applyFill="1"/>
    <xf numFmtId="3" fontId="5" fillId="0" borderId="0" xfId="6" applyNumberFormat="1" applyFont="1" applyFill="1"/>
    <xf numFmtId="3" fontId="5" fillId="0" borderId="0" xfId="5" applyNumberFormat="1" applyFont="1" applyFill="1"/>
    <xf numFmtId="4" fontId="9" fillId="0" borderId="0" xfId="0" applyNumberFormat="1" applyFont="1" applyAlignment="1">
      <alignment horizontal="center"/>
    </xf>
    <xf numFmtId="37" fontId="9" fillId="0" borderId="0" xfId="0" applyNumberFormat="1" applyFont="1" applyFill="1"/>
    <xf numFmtId="3" fontId="9" fillId="0" borderId="0" xfId="0" applyNumberFormat="1" applyFont="1" applyFill="1"/>
    <xf numFmtId="10" fontId="16" fillId="0" borderId="0" xfId="0" applyNumberFormat="1" applyFont="1" applyAlignment="1">
      <alignment horizontal="center"/>
    </xf>
    <xf numFmtId="3" fontId="9" fillId="0" borderId="0" xfId="0" applyNumberFormat="1" applyFont="1" applyFill="1" applyAlignment="1">
      <alignment horizontal="center"/>
    </xf>
    <xf numFmtId="3" fontId="9" fillId="0" borderId="0" xfId="0" applyNumberFormat="1" applyFont="1" applyFill="1" applyAlignment="1">
      <alignment horizontal="left"/>
    </xf>
    <xf numFmtId="10" fontId="9" fillId="0" borderId="0" xfId="0" applyNumberFormat="1" applyFont="1" applyAlignment="1">
      <alignment horizontal="center"/>
    </xf>
    <xf numFmtId="3" fontId="9" fillId="0" borderId="0" xfId="0" applyNumberFormat="1" applyFont="1" applyAlignment="1">
      <alignment horizontal="left"/>
    </xf>
    <xf numFmtId="10" fontId="5" fillId="0" borderId="0" xfId="7" quotePrefix="1" applyNumberFormat="1" applyFont="1" applyAlignment="1">
      <alignment horizontal="center"/>
    </xf>
    <xf numFmtId="10" fontId="5" fillId="0" borderId="0" xfId="7" applyNumberFormat="1" applyFont="1" applyBorder="1" applyAlignment="1">
      <alignment horizontal="right"/>
    </xf>
    <xf numFmtId="41" fontId="9" fillId="0" borderId="0" xfId="0" applyNumberFormat="1" applyFont="1"/>
    <xf numFmtId="3" fontId="5" fillId="5" borderId="8" xfId="6" applyNumberFormat="1" applyFont="1" applyFill="1" applyBorder="1" applyAlignment="1">
      <alignment horizontal="center"/>
    </xf>
    <xf numFmtId="3" fontId="5" fillId="5" borderId="0" xfId="6" applyNumberFormat="1" applyFont="1" applyFill="1"/>
    <xf numFmtId="10" fontId="5" fillId="5" borderId="0" xfId="7" applyNumberFormat="1" applyFont="1" applyFill="1"/>
    <xf numFmtId="3" fontId="5" fillId="5" borderId="5" xfId="6" applyNumberFormat="1" applyFont="1" applyFill="1" applyBorder="1" applyAlignment="1">
      <alignment horizontal="center"/>
    </xf>
    <xf numFmtId="3" fontId="5" fillId="5" borderId="5" xfId="6" applyNumberFormat="1" applyFont="1" applyFill="1" applyBorder="1"/>
    <xf numFmtId="42" fontId="5" fillId="5" borderId="5" xfId="6" applyNumberFormat="1" applyFont="1" applyFill="1" applyBorder="1"/>
    <xf numFmtId="41" fontId="5" fillId="5" borderId="5" xfId="6" applyNumberFormat="1" applyFont="1" applyFill="1" applyBorder="1"/>
    <xf numFmtId="41" fontId="5" fillId="5" borderId="8" xfId="6" applyNumberFormat="1" applyFont="1" applyFill="1" applyBorder="1"/>
    <xf numFmtId="42" fontId="5" fillId="5" borderId="33" xfId="6" applyNumberFormat="1" applyFont="1" applyFill="1" applyBorder="1"/>
    <xf numFmtId="41" fontId="5" fillId="5" borderId="34" xfId="6" applyNumberFormat="1" applyFont="1" applyFill="1" applyBorder="1"/>
    <xf numFmtId="10" fontId="5" fillId="5" borderId="36" xfId="7" applyNumberFormat="1" applyFont="1" applyFill="1" applyBorder="1"/>
    <xf numFmtId="3" fontId="5" fillId="5" borderId="35" xfId="6" applyNumberFormat="1" applyFont="1" applyFill="1" applyBorder="1"/>
    <xf numFmtId="3" fontId="5" fillId="0" borderId="0" xfId="6" applyNumberFormat="1" applyFont="1" applyFill="1" applyBorder="1" applyAlignment="1"/>
    <xf numFmtId="168" fontId="3" fillId="0" borderId="0" xfId="6" applyNumberFormat="1" applyFont="1" applyFill="1"/>
    <xf numFmtId="41" fontId="5" fillId="0" borderId="0" xfId="6" applyNumberFormat="1" applyFont="1" applyFill="1" applyBorder="1"/>
    <xf numFmtId="41" fontId="5" fillId="0" borderId="0" xfId="5" applyNumberFormat="1" applyFont="1" applyFill="1" applyBorder="1"/>
    <xf numFmtId="3" fontId="5" fillId="0" borderId="0" xfId="5" applyNumberFormat="1" applyFont="1" applyFill="1" applyBorder="1"/>
    <xf numFmtId="3" fontId="5" fillId="0" borderId="0" xfId="6" applyNumberFormat="1" applyFont="1" applyFill="1" applyBorder="1"/>
    <xf numFmtId="42" fontId="5" fillId="0" borderId="0" xfId="6" applyNumberFormat="1" applyFont="1" applyFill="1" applyBorder="1"/>
    <xf numFmtId="10" fontId="5" fillId="0" borderId="0" xfId="7" applyNumberFormat="1" applyFont="1" applyFill="1" applyBorder="1"/>
    <xf numFmtId="41" fontId="5" fillId="0" borderId="0" xfId="20" applyNumberFormat="1" applyFont="1" applyFill="1" applyBorder="1" applyAlignment="1">
      <alignment horizontal="center"/>
    </xf>
    <xf numFmtId="0" fontId="3" fillId="0" borderId="0" xfId="0" applyFont="1"/>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13" fillId="0" borderId="0" xfId="0" applyFont="1"/>
    <xf numFmtId="37" fontId="9" fillId="0" borderId="0" xfId="0" applyNumberFormat="1" applyFont="1" applyBorder="1"/>
    <xf numFmtId="3" fontId="9" fillId="0" borderId="0" xfId="0" applyNumberFormat="1" applyFont="1"/>
    <xf numFmtId="37" fontId="9" fillId="0" borderId="0" xfId="0" applyNumberFormat="1" applyFont="1"/>
    <xf numFmtId="0" fontId="9" fillId="0" borderId="0" xfId="0" applyFont="1" applyFill="1" applyBorder="1"/>
    <xf numFmtId="0" fontId="9" fillId="0" borderId="0" xfId="0" applyFont="1" applyFill="1"/>
    <xf numFmtId="0" fontId="13" fillId="0" borderId="0" xfId="0" applyFont="1" applyFill="1"/>
    <xf numFmtId="3" fontId="9" fillId="0" borderId="0" xfId="0" applyNumberFormat="1" applyFont="1" applyFill="1"/>
    <xf numFmtId="41" fontId="5" fillId="0" borderId="5" xfId="20" applyNumberFormat="1" applyFont="1" applyFill="1" applyBorder="1" applyAlignment="1">
      <alignment horizontal="center"/>
    </xf>
    <xf numFmtId="4" fontId="9" fillId="0" borderId="0" xfId="0" applyNumberFormat="1" applyFont="1" applyAlignment="1">
      <alignment horizontal="center"/>
    </xf>
    <xf numFmtId="4" fontId="9" fillId="0" borderId="0" xfId="0" applyNumberFormat="1" applyFont="1" applyAlignment="1">
      <alignment horizontal="left"/>
    </xf>
    <xf numFmtId="3" fontId="1" fillId="0" borderId="0" xfId="0" applyNumberFormat="1" applyFont="1" applyFill="1" applyAlignment="1">
      <alignment horizontal="left"/>
    </xf>
    <xf numFmtId="169" fontId="9" fillId="0" borderId="0" xfId="17" applyNumberFormat="1" applyFont="1"/>
    <xf numFmtId="168" fontId="3" fillId="0" borderId="10" xfId="6" applyNumberFormat="1" applyFont="1" applyBorder="1"/>
    <xf numFmtId="3" fontId="3" fillId="0" borderId="0" xfId="5" applyNumberFormat="1" applyFont="1" applyFill="1"/>
    <xf numFmtId="42" fontId="3" fillId="0" borderId="0" xfId="4" applyNumberFormat="1" applyFont="1" applyFill="1"/>
    <xf numFmtId="41" fontId="3" fillId="0" borderId="0" xfId="4" applyNumberFormat="1" applyFont="1" applyFill="1"/>
    <xf numFmtId="3" fontId="31" fillId="0" borderId="0" xfId="6" applyNumberFormat="1" applyFont="1" applyFill="1"/>
    <xf numFmtId="41" fontId="5" fillId="0" borderId="1" xfId="22" applyNumberFormat="1" applyFont="1" applyFill="1" applyBorder="1" applyAlignment="1">
      <alignment horizontal="center"/>
    </xf>
    <xf numFmtId="41" fontId="5" fillId="0" borderId="5" xfId="22" applyNumberFormat="1" applyFont="1" applyFill="1" applyBorder="1" applyAlignment="1">
      <alignment horizontal="center"/>
    </xf>
    <xf numFmtId="41" fontId="5" fillId="0" borderId="8" xfId="22" applyNumberFormat="1" applyFont="1" applyFill="1" applyBorder="1" applyAlignment="1">
      <alignment horizontal="center"/>
    </xf>
    <xf numFmtId="4" fontId="5" fillId="0" borderId="0" xfId="6" applyNumberFormat="1" applyFont="1" applyAlignment="1">
      <alignment horizontal="center"/>
    </xf>
    <xf numFmtId="42" fontId="3" fillId="0" borderId="12" xfId="6" applyNumberFormat="1" applyFont="1" applyBorder="1"/>
    <xf numFmtId="41" fontId="5" fillId="0" borderId="0" xfId="4" applyNumberFormat="1" applyFont="1" applyFill="1"/>
    <xf numFmtId="42" fontId="5" fillId="0" borderId="0" xfId="4" applyNumberFormat="1" applyFont="1" applyFill="1"/>
    <xf numFmtId="41" fontId="5" fillId="0" borderId="10" xfId="4" applyNumberFormat="1" applyFont="1" applyFill="1" applyBorder="1"/>
    <xf numFmtId="10" fontId="3" fillId="0" borderId="0" xfId="7" applyNumberFormat="1" applyFont="1" applyFill="1"/>
    <xf numFmtId="3" fontId="26" fillId="0" borderId="0" xfId="6" applyNumberFormat="1" applyFont="1" applyFill="1"/>
    <xf numFmtId="0" fontId="26" fillId="0" borderId="20" xfId="0" applyFont="1" applyFill="1" applyBorder="1"/>
    <xf numFmtId="0" fontId="26" fillId="0" borderId="21" xfId="0" applyFont="1" applyFill="1" applyBorder="1"/>
    <xf numFmtId="37" fontId="26" fillId="0" borderId="22" xfId="5" applyNumberFormat="1" applyFont="1" applyFill="1" applyBorder="1"/>
    <xf numFmtId="0" fontId="28" fillId="0" borderId="22" xfId="0" applyFont="1" applyFill="1" applyBorder="1" applyAlignment="1">
      <alignment horizontal="center"/>
    </xf>
    <xf numFmtId="0" fontId="27" fillId="0" borderId="24" xfId="0" applyFont="1" applyFill="1" applyBorder="1" applyAlignment="1">
      <alignment horizontal="center"/>
    </xf>
    <xf numFmtId="0" fontId="27" fillId="0" borderId="10" xfId="0" applyFont="1" applyFill="1" applyBorder="1" applyAlignment="1">
      <alignment horizontal="center"/>
    </xf>
    <xf numFmtId="0" fontId="26" fillId="0" borderId="22" xfId="0" applyFont="1" applyFill="1" applyBorder="1"/>
    <xf numFmtId="10" fontId="26" fillId="0" borderId="16" xfId="7" applyNumberFormat="1" applyFont="1" applyFill="1" applyBorder="1"/>
    <xf numFmtId="0" fontId="26" fillId="0" borderId="25" xfId="0" applyFont="1" applyFill="1" applyBorder="1"/>
    <xf numFmtId="0" fontId="26" fillId="0" borderId="26" xfId="0" applyFont="1" applyFill="1" applyBorder="1"/>
    <xf numFmtId="0" fontId="27" fillId="0" borderId="23" xfId="0" applyFont="1" applyFill="1" applyBorder="1" applyAlignment="1">
      <alignment horizontal="center"/>
    </xf>
    <xf numFmtId="0" fontId="27" fillId="0" borderId="38" xfId="0" applyFont="1" applyFill="1" applyBorder="1" applyAlignment="1">
      <alignment horizontal="center"/>
    </xf>
    <xf numFmtId="0" fontId="26" fillId="0" borderId="27" xfId="0" applyFont="1" applyFill="1" applyBorder="1"/>
    <xf numFmtId="0" fontId="48" fillId="0" borderId="0" xfId="0" applyFont="1" applyAlignment="1">
      <alignment horizontal="left"/>
    </xf>
    <xf numFmtId="3" fontId="48" fillId="0" borderId="0" xfId="0" applyNumberFormat="1" applyFont="1" applyAlignment="1">
      <alignment horizontal="left"/>
    </xf>
    <xf numFmtId="3" fontId="48" fillId="0" borderId="0" xfId="0" applyNumberFormat="1" applyFont="1" applyFill="1" applyAlignment="1">
      <alignment horizontal="left"/>
    </xf>
    <xf numFmtId="49" fontId="48" fillId="0" borderId="0" xfId="0" applyNumberFormat="1" applyFont="1" applyAlignment="1">
      <alignment horizontal="left"/>
    </xf>
    <xf numFmtId="3" fontId="48" fillId="0" borderId="0" xfId="0" applyNumberFormat="1" applyFont="1"/>
    <xf numFmtId="3" fontId="48" fillId="0" borderId="0" xfId="0" applyNumberFormat="1" applyFont="1" applyFill="1"/>
    <xf numFmtId="0" fontId="48" fillId="0" borderId="0" xfId="0" applyFont="1"/>
    <xf numFmtId="3" fontId="48" fillId="4" borderId="0" xfId="0" applyNumberFormat="1" applyFont="1" applyFill="1"/>
    <xf numFmtId="175" fontId="48" fillId="0" borderId="0" xfId="0" applyNumberFormat="1" applyFont="1"/>
    <xf numFmtId="0" fontId="9" fillId="0" borderId="0" xfId="0" applyFont="1"/>
    <xf numFmtId="0" fontId="10" fillId="0" borderId="0" xfId="0" applyFont="1" applyAlignment="1">
      <alignment horizontal="center"/>
    </xf>
    <xf numFmtId="0" fontId="9" fillId="0" borderId="0" xfId="0" applyFont="1" applyAlignment="1">
      <alignment horizontal="center"/>
    </xf>
    <xf numFmtId="37" fontId="9" fillId="0" borderId="0" xfId="0" applyNumberFormat="1" applyFont="1"/>
    <xf numFmtId="0" fontId="9" fillId="0" borderId="0" xfId="0" applyFont="1" applyFill="1"/>
    <xf numFmtId="0" fontId="10" fillId="0" borderId="0" xfId="0" applyFont="1" applyBorder="1" applyAlignment="1">
      <alignment horizontal="left"/>
    </xf>
    <xf numFmtId="0" fontId="10" fillId="0" borderId="0" xfId="0" applyFont="1" applyFill="1" applyAlignment="1">
      <alignment horizontal="left"/>
    </xf>
    <xf numFmtId="3" fontId="9" fillId="0" borderId="0" xfId="0" applyNumberFormat="1" applyFont="1" applyFill="1"/>
    <xf numFmtId="41" fontId="5" fillId="0" borderId="0" xfId="20" applyNumberFormat="1" applyFont="1" applyFill="1" applyAlignment="1">
      <alignment horizontal="center"/>
    </xf>
    <xf numFmtId="4" fontId="9" fillId="0" borderId="0" xfId="0" applyNumberFormat="1" applyFont="1" applyAlignment="1">
      <alignment horizontal="center"/>
    </xf>
    <xf numFmtId="4" fontId="9" fillId="0" borderId="0" xfId="0" applyNumberFormat="1" applyFont="1" applyAlignment="1">
      <alignment horizontal="left"/>
    </xf>
    <xf numFmtId="41" fontId="5" fillId="5" borderId="1" xfId="4" applyNumberFormat="1" applyFont="1" applyFill="1" applyBorder="1" applyAlignment="1">
      <alignment horizontal="center"/>
    </xf>
    <xf numFmtId="0" fontId="10" fillId="0" borderId="0" xfId="0" applyFont="1" applyAlignment="1">
      <alignment horizontal="center"/>
    </xf>
    <xf numFmtId="0" fontId="9" fillId="0" borderId="0" xfId="0" applyFont="1" applyAlignment="1">
      <alignment horizontal="center"/>
    </xf>
    <xf numFmtId="37" fontId="3" fillId="0" borderId="0" xfId="3" applyNumberFormat="1" applyFont="1" applyFill="1" applyBorder="1"/>
    <xf numFmtId="3" fontId="5" fillId="0" borderId="5" xfId="6" applyNumberFormat="1" applyFont="1" applyBorder="1" applyAlignment="1">
      <alignment horizontal="center"/>
    </xf>
    <xf numFmtId="3" fontId="5" fillId="0" borderId="8" xfId="6" applyNumberFormat="1" applyFont="1" applyBorder="1" applyAlignment="1">
      <alignment horizontal="center"/>
    </xf>
    <xf numFmtId="42" fontId="3" fillId="0" borderId="0" xfId="6" applyNumberFormat="1" applyFont="1"/>
    <xf numFmtId="3" fontId="5" fillId="0" borderId="0" xfId="6" applyNumberFormat="1" applyFont="1" applyFill="1" applyBorder="1" applyAlignment="1">
      <alignment horizontal="right"/>
    </xf>
    <xf numFmtId="41" fontId="5" fillId="0" borderId="0" xfId="20" applyNumberFormat="1" applyFont="1" applyFill="1" applyBorder="1" applyAlignment="1">
      <alignment horizontal="right"/>
    </xf>
    <xf numFmtId="42" fontId="5" fillId="0" borderId="0" xfId="6" applyNumberFormat="1" applyFont="1" applyFill="1" applyBorder="1" applyAlignment="1">
      <alignment horizontal="right"/>
    </xf>
    <xf numFmtId="41" fontId="5" fillId="0" borderId="0" xfId="6" applyNumberFormat="1" applyFont="1" applyFill="1" applyBorder="1" applyAlignment="1">
      <alignment horizontal="right"/>
    </xf>
    <xf numFmtId="41" fontId="5" fillId="0" borderId="0" xfId="5" applyNumberFormat="1" applyFont="1" applyFill="1" applyBorder="1" applyAlignment="1">
      <alignment horizontal="right"/>
    </xf>
    <xf numFmtId="3" fontId="5" fillId="0" borderId="0" xfId="5" applyNumberFormat="1" applyFont="1" applyFill="1" applyBorder="1" applyAlignment="1">
      <alignment horizontal="right"/>
    </xf>
    <xf numFmtId="3" fontId="3" fillId="0" borderId="0" xfId="22" applyNumberFormat="1" applyFont="1" applyBorder="1"/>
    <xf numFmtId="41" fontId="5" fillId="5" borderId="9" xfId="6" applyNumberFormat="1" applyFont="1" applyFill="1" applyBorder="1"/>
    <xf numFmtId="3" fontId="49" fillId="0" borderId="0" xfId="22" applyNumberFormat="1" applyFont="1"/>
    <xf numFmtId="3" fontId="5" fillId="5" borderId="6" xfId="6" applyNumberFormat="1" applyFont="1" applyFill="1" applyBorder="1" applyAlignment="1">
      <alignment horizontal="center"/>
    </xf>
    <xf numFmtId="41" fontId="5" fillId="5" borderId="6" xfId="6" applyNumberFormat="1" applyFont="1" applyFill="1" applyBorder="1"/>
    <xf numFmtId="3" fontId="3" fillId="0" borderId="0" xfId="6" applyNumberFormat="1" applyFont="1" applyBorder="1"/>
    <xf numFmtId="3" fontId="3" fillId="0" borderId="0" xfId="5" applyNumberFormat="1" applyFont="1" applyFill="1" applyBorder="1"/>
    <xf numFmtId="0" fontId="3" fillId="0" borderId="0" xfId="5" applyFont="1" applyFill="1" applyBorder="1"/>
    <xf numFmtId="0" fontId="3" fillId="0" borderId="0" xfId="6" applyNumberFormat="1" applyFont="1" applyFill="1" applyBorder="1" applyAlignment="1">
      <alignment horizontal="center"/>
    </xf>
    <xf numFmtId="3" fontId="5" fillId="0" borderId="0" xfId="6" applyNumberFormat="1" applyFont="1" applyBorder="1"/>
    <xf numFmtId="41" fontId="5" fillId="0" borderId="0" xfId="4" applyNumberFormat="1" applyFont="1" applyFill="1" applyBorder="1" applyAlignment="1">
      <alignment horizontal="center"/>
    </xf>
    <xf numFmtId="0" fontId="3" fillId="0" borderId="0" xfId="6" applyFont="1" applyFill="1" applyBorder="1"/>
    <xf numFmtId="0" fontId="3" fillId="0" borderId="0" xfId="5" applyFont="1" applyFill="1" applyBorder="1" applyAlignment="1">
      <alignment horizontal="right"/>
    </xf>
    <xf numFmtId="41" fontId="5" fillId="5" borderId="5" xfId="20" applyNumberFormat="1" applyFont="1" applyFill="1" applyBorder="1" applyAlignment="1">
      <alignment horizontal="center"/>
    </xf>
    <xf numFmtId="41" fontId="5" fillId="5" borderId="8" xfId="20" applyNumberFormat="1" applyFont="1" applyFill="1" applyBorder="1" applyAlignment="1">
      <alignment horizontal="center"/>
    </xf>
    <xf numFmtId="2" fontId="5" fillId="5" borderId="5" xfId="20" applyNumberFormat="1" applyFont="1" applyFill="1" applyBorder="1" applyAlignment="1">
      <alignment horizontal="center"/>
    </xf>
    <xf numFmtId="41" fontId="5" fillId="5" borderId="1" xfId="20" quotePrefix="1" applyNumberFormat="1" applyFont="1" applyFill="1" applyBorder="1" applyAlignment="1">
      <alignment horizontal="center"/>
    </xf>
    <xf numFmtId="3" fontId="3" fillId="0" borderId="0" xfId="6" applyNumberFormat="1" applyFont="1" applyFill="1" applyAlignment="1">
      <alignment horizontal="center"/>
    </xf>
    <xf numFmtId="42" fontId="3" fillId="0" borderId="12" xfId="6" applyNumberFormat="1" applyFont="1" applyFill="1" applyBorder="1"/>
    <xf numFmtId="41" fontId="3" fillId="0" borderId="15" xfId="6" applyNumberFormat="1" applyFont="1" applyFill="1" applyBorder="1"/>
    <xf numFmtId="41" fontId="3" fillId="0" borderId="0" xfId="6" applyNumberFormat="1" applyFont="1" applyFill="1" applyBorder="1"/>
    <xf numFmtId="42" fontId="5" fillId="0" borderId="12" xfId="6" applyNumberFormat="1" applyFont="1" applyFill="1" applyBorder="1"/>
    <xf numFmtId="0" fontId="10" fillId="0" borderId="0" xfId="0" applyFont="1" applyAlignment="1">
      <alignment horizontal="center"/>
    </xf>
    <xf numFmtId="0" fontId="9" fillId="0" borderId="0" xfId="0" applyFont="1" applyAlignment="1">
      <alignment horizontal="center"/>
    </xf>
    <xf numFmtId="41" fontId="25" fillId="0" borderId="0" xfId="20" applyNumberFormat="1" applyFont="1" applyFill="1" applyAlignment="1"/>
    <xf numFmtId="41" fontId="5" fillId="0" borderId="2" xfId="4" applyNumberFormat="1" applyFont="1" applyFill="1" applyBorder="1" applyAlignment="1">
      <alignment horizontal="center"/>
    </xf>
    <xf numFmtId="3" fontId="5" fillId="0" borderId="31" xfId="6" applyNumberFormat="1" applyFont="1" applyFill="1" applyBorder="1" applyAlignment="1">
      <alignment horizontal="center"/>
    </xf>
    <xf numFmtId="42" fontId="3" fillId="0" borderId="0" xfId="4" applyNumberFormat="1" applyFont="1" applyFill="1" applyBorder="1"/>
    <xf numFmtId="173" fontId="3" fillId="0" borderId="0" xfId="1" applyNumberFormat="1" applyFont="1" applyFill="1" applyBorder="1"/>
    <xf numFmtId="0" fontId="50" fillId="0" borderId="0" xfId="0" applyFont="1" applyAlignment="1">
      <alignment horizontal="center"/>
    </xf>
    <xf numFmtId="0" fontId="51" fillId="0" borderId="0" xfId="0" applyFont="1" applyAlignment="1">
      <alignment horizontal="center"/>
    </xf>
    <xf numFmtId="0" fontId="51" fillId="0" borderId="0" xfId="0" applyFont="1" applyBorder="1" applyAlignment="1">
      <alignment horizontal="center"/>
    </xf>
    <xf numFmtId="0" fontId="52" fillId="0" borderId="0" xfId="0" applyFont="1" applyBorder="1" applyAlignment="1">
      <alignment horizontal="center"/>
    </xf>
    <xf numFmtId="0" fontId="51" fillId="0" borderId="0" xfId="0" applyFont="1" applyFill="1"/>
    <xf numFmtId="0" fontId="53" fillId="0" borderId="0" xfId="0" applyFont="1" applyAlignment="1">
      <alignment horizontal="center"/>
    </xf>
    <xf numFmtId="0" fontId="53" fillId="0" borderId="0" xfId="0" applyFont="1" applyBorder="1" applyAlignment="1">
      <alignment horizontal="center"/>
    </xf>
    <xf numFmtId="0" fontId="54" fillId="0" borderId="0" xfId="0" applyFont="1" applyBorder="1" applyAlignment="1">
      <alignment horizontal="center"/>
    </xf>
    <xf numFmtId="0" fontId="53" fillId="0" borderId="0" xfId="0" applyFont="1"/>
    <xf numFmtId="0" fontId="53" fillId="0" borderId="0" xfId="0" applyFont="1" applyFill="1"/>
    <xf numFmtId="3" fontId="55" fillId="0" borderId="0" xfId="6" applyNumberFormat="1" applyFont="1" applyAlignment="1">
      <alignment horizontal="center"/>
    </xf>
    <xf numFmtId="3" fontId="5" fillId="0" borderId="5" xfId="5" applyNumberFormat="1" applyFont="1" applyFill="1" applyBorder="1" applyAlignment="1">
      <alignment horizontal="center"/>
    </xf>
    <xf numFmtId="3" fontId="5" fillId="0" borderId="8" xfId="5" applyNumberFormat="1" applyFont="1" applyFill="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51" fillId="0" borderId="0" xfId="0" applyFont="1" applyFill="1" applyAlignment="1">
      <alignment horizontal="center"/>
    </xf>
    <xf numFmtId="0" fontId="53" fillId="0" borderId="0" xfId="0" applyFont="1" applyFill="1" applyAlignment="1">
      <alignment horizontal="center"/>
    </xf>
    <xf numFmtId="0" fontId="9"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9" fillId="0" borderId="0" xfId="0" applyFont="1" applyAlignment="1">
      <alignment horizontal="center"/>
    </xf>
    <xf numFmtId="3" fontId="5" fillId="0" borderId="6" xfId="6" applyNumberFormat="1" applyFont="1" applyFill="1" applyBorder="1" applyAlignment="1">
      <alignment horizontal="center"/>
    </xf>
    <xf numFmtId="3" fontId="5" fillId="0" borderId="32" xfId="6" applyNumberFormat="1" applyFont="1" applyFill="1" applyBorder="1" applyAlignment="1">
      <alignment horizontal="center"/>
    </xf>
    <xf numFmtId="0" fontId="3" fillId="0" borderId="0" xfId="6" applyFont="1" applyFill="1" applyBorder="1" applyAlignment="1">
      <alignment horizontal="right"/>
    </xf>
    <xf numFmtId="3" fontId="10" fillId="0" borderId="0" xfId="6" quotePrefix="1" applyNumberFormat="1" applyFont="1" applyFill="1" applyAlignment="1">
      <alignment horizontal="center"/>
    </xf>
    <xf numFmtId="41" fontId="5" fillId="0" borderId="4" xfId="23" applyNumberFormat="1" applyFont="1" applyFill="1" applyBorder="1" applyAlignment="1">
      <alignment horizontal="center"/>
    </xf>
    <xf numFmtId="41" fontId="5" fillId="0" borderId="8" xfId="20" applyNumberFormat="1" applyFont="1" applyFill="1" applyBorder="1" applyAlignment="1">
      <alignment horizontal="center"/>
    </xf>
    <xf numFmtId="4" fontId="5" fillId="0" borderId="5" xfId="6" applyNumberFormat="1" applyFont="1" applyFill="1" applyBorder="1" applyAlignment="1">
      <alignment horizontal="center"/>
    </xf>
    <xf numFmtId="3" fontId="3" fillId="0" borderId="5" xfId="6" applyNumberFormat="1" applyFont="1" applyFill="1" applyBorder="1"/>
    <xf numFmtId="42" fontId="3" fillId="0" borderId="5" xfId="4" applyNumberFormat="1" applyFont="1" applyFill="1" applyBorder="1"/>
    <xf numFmtId="41" fontId="3" fillId="0" borderId="5" xfId="4" applyNumberFormat="1" applyFont="1" applyFill="1" applyBorder="1"/>
    <xf numFmtId="41" fontId="3" fillId="0" borderId="8" xfId="4" applyNumberFormat="1" applyFont="1" applyFill="1" applyBorder="1"/>
    <xf numFmtId="41" fontId="3" fillId="0" borderId="5" xfId="6" applyNumberFormat="1" applyFont="1" applyFill="1" applyBorder="1"/>
    <xf numFmtId="41" fontId="3" fillId="0" borderId="8" xfId="6" applyNumberFormat="1" applyFont="1" applyFill="1" applyBorder="1"/>
    <xf numFmtId="42" fontId="3" fillId="0" borderId="33" xfId="6" applyNumberFormat="1" applyFont="1" applyFill="1" applyBorder="1"/>
    <xf numFmtId="173" fontId="3" fillId="0" borderId="5" xfId="1" applyNumberFormat="1" applyFont="1" applyFill="1" applyBorder="1"/>
    <xf numFmtId="173" fontId="3" fillId="0" borderId="8" xfId="1" applyNumberFormat="1" applyFont="1" applyFill="1" applyBorder="1"/>
    <xf numFmtId="41" fontId="3" fillId="0" borderId="34" xfId="6" applyNumberFormat="1" applyFont="1" applyFill="1" applyBorder="1"/>
    <xf numFmtId="42" fontId="5" fillId="0" borderId="33" xfId="6" applyNumberFormat="1" applyFont="1" applyFill="1" applyBorder="1"/>
    <xf numFmtId="174" fontId="5" fillId="0" borderId="5" xfId="2" applyNumberFormat="1" applyFont="1" applyFill="1" applyBorder="1"/>
    <xf numFmtId="178" fontId="3" fillId="0" borderId="0" xfId="5" applyNumberFormat="1" applyFont="1" applyFill="1"/>
    <xf numFmtId="0" fontId="9" fillId="0" borderId="0" xfId="0" applyFont="1" applyAlignment="1">
      <alignment horizontal="center"/>
    </xf>
    <xf numFmtId="3" fontId="10" fillId="0" borderId="0" xfId="0" applyNumberFormat="1" applyFont="1" applyFill="1"/>
    <xf numFmtId="3" fontId="5" fillId="0" borderId="1" xfId="0" quotePrefix="1" applyNumberFormat="1" applyFont="1" applyBorder="1" applyAlignment="1">
      <alignment horizontal="center"/>
    </xf>
    <xf numFmtId="173" fontId="9" fillId="0" borderId="0" xfId="0" applyNumberFormat="1" applyFont="1"/>
    <xf numFmtId="173" fontId="3" fillId="0" borderId="10" xfId="1" applyNumberFormat="1" applyFont="1" applyBorder="1"/>
    <xf numFmtId="174" fontId="3" fillId="0" borderId="0" xfId="2" applyNumberFormat="1" applyFont="1"/>
    <xf numFmtId="169" fontId="7" fillId="0" borderId="0" xfId="0" applyNumberFormat="1" applyFont="1"/>
    <xf numFmtId="174" fontId="9" fillId="0" borderId="0" xfId="2" applyNumberFormat="1" applyFont="1" applyFill="1" applyBorder="1"/>
    <xf numFmtId="41" fontId="5" fillId="0" borderId="1" xfId="0" quotePrefix="1" applyNumberFormat="1" applyFont="1" applyBorder="1" applyAlignment="1">
      <alignment horizontal="center"/>
    </xf>
    <xf numFmtId="0" fontId="35" fillId="0" borderId="0" xfId="20" applyFont="1"/>
    <xf numFmtId="37" fontId="3" fillId="0" borderId="0" xfId="20" applyNumberFormat="1" applyFont="1" applyFill="1"/>
    <xf numFmtId="0" fontId="10" fillId="0" borderId="0" xfId="5" applyNumberFormat="1" applyFont="1" applyAlignment="1">
      <alignment horizontal="center"/>
    </xf>
    <xf numFmtId="0" fontId="57" fillId="0" borderId="0" xfId="0" applyFont="1" applyFill="1" applyBorder="1"/>
    <xf numFmtId="0" fontId="9" fillId="0" borderId="0" xfId="20" applyFont="1" applyBorder="1"/>
    <xf numFmtId="37" fontId="9" fillId="0" borderId="0" xfId="20" applyNumberFormat="1" applyFont="1" applyFill="1" applyBorder="1"/>
    <xf numFmtId="0" fontId="10" fillId="0" borderId="0" xfId="0" applyFont="1" applyFill="1" applyBorder="1" applyAlignment="1">
      <alignment horizontal="center"/>
    </xf>
    <xf numFmtId="37" fontId="15" fillId="0" borderId="0" xfId="20" applyNumberFormat="1" applyFont="1" applyFill="1" applyBorder="1"/>
    <xf numFmtId="10" fontId="9" fillId="0" borderId="0" xfId="7" applyNumberFormat="1" applyFont="1" applyFill="1" applyBorder="1"/>
    <xf numFmtId="10" fontId="15" fillId="0" borderId="0" xfId="7" applyNumberFormat="1" applyFont="1" applyFill="1" applyBorder="1"/>
    <xf numFmtId="0" fontId="5" fillId="0" borderId="0" xfId="0" applyFont="1" applyAlignment="1">
      <alignment horizontal="left"/>
    </xf>
    <xf numFmtId="0" fontId="10" fillId="0" borderId="0" xfId="0" applyFont="1" applyAlignment="1">
      <alignment horizontal="left"/>
    </xf>
    <xf numFmtId="0" fontId="10" fillId="0" borderId="0" xfId="5" applyNumberFormat="1" applyFont="1" applyAlignment="1">
      <alignment horizontal="left"/>
    </xf>
    <xf numFmtId="0" fontId="3" fillId="0" borderId="0" xfId="0" applyFont="1" applyFill="1"/>
    <xf numFmtId="3" fontId="56" fillId="0" borderId="0" xfId="6" applyNumberFormat="1" applyFont="1" applyFill="1"/>
    <xf numFmtId="41" fontId="56" fillId="0" borderId="0" xfId="5" applyNumberFormat="1" applyFont="1" applyFill="1" applyAlignment="1">
      <alignment horizontal="center"/>
    </xf>
    <xf numFmtId="3" fontId="61" fillId="0" borderId="0" xfId="6" applyNumberFormat="1" applyFont="1" applyFill="1" applyBorder="1" applyAlignment="1"/>
    <xf numFmtId="3" fontId="61" fillId="0" borderId="1" xfId="6" applyNumberFormat="1" applyFont="1" applyFill="1" applyBorder="1" applyAlignment="1">
      <alignment horizontal="center"/>
    </xf>
    <xf numFmtId="3" fontId="61" fillId="0" borderId="5" xfId="6" applyNumberFormat="1" applyFont="1" applyFill="1" applyBorder="1" applyAlignment="1">
      <alignment horizontal="center"/>
    </xf>
    <xf numFmtId="3" fontId="61" fillId="0" borderId="8" xfId="6" applyNumberFormat="1" applyFont="1" applyFill="1" applyBorder="1" applyAlignment="1">
      <alignment horizontal="center"/>
    </xf>
    <xf numFmtId="180" fontId="61" fillId="0" borderId="0" xfId="6" applyNumberFormat="1" applyFont="1" applyFill="1" applyBorder="1" applyAlignment="1">
      <alignment horizontal="center"/>
    </xf>
    <xf numFmtId="3" fontId="61" fillId="0" borderId="0" xfId="6" applyNumberFormat="1" applyFont="1" applyFill="1" applyBorder="1" applyAlignment="1">
      <alignment horizontal="center"/>
    </xf>
    <xf numFmtId="3" fontId="56" fillId="0" borderId="0" xfId="6" applyNumberFormat="1" applyFont="1" applyFill="1" applyBorder="1"/>
    <xf numFmtId="42" fontId="56" fillId="0" borderId="0" xfId="4" applyNumberFormat="1" applyFont="1" applyFill="1" applyBorder="1"/>
    <xf numFmtId="41" fontId="56" fillId="0" borderId="0" xfId="4" applyNumberFormat="1" applyFont="1" applyFill="1" applyBorder="1"/>
    <xf numFmtId="41" fontId="56" fillId="0" borderId="10" xfId="4" applyNumberFormat="1" applyFont="1" applyFill="1" applyBorder="1"/>
    <xf numFmtId="41" fontId="56" fillId="0" borderId="0" xfId="6" applyNumberFormat="1" applyFont="1" applyFill="1" applyBorder="1"/>
    <xf numFmtId="41" fontId="56" fillId="0" borderId="10" xfId="6" applyNumberFormat="1" applyFont="1" applyFill="1" applyBorder="1"/>
    <xf numFmtId="42" fontId="56" fillId="0" borderId="12" xfId="6" applyNumberFormat="1" applyFont="1" applyFill="1" applyBorder="1"/>
    <xf numFmtId="173" fontId="56" fillId="0" borderId="0" xfId="1" applyNumberFormat="1" applyFont="1" applyFill="1" applyBorder="1"/>
    <xf numFmtId="41" fontId="56" fillId="0" borderId="15" xfId="6" applyNumberFormat="1" applyFont="1" applyFill="1" applyBorder="1"/>
    <xf numFmtId="41" fontId="56" fillId="0" borderId="0" xfId="6" applyNumberFormat="1" applyFont="1" applyBorder="1"/>
    <xf numFmtId="42" fontId="61" fillId="0" borderId="12" xfId="6" applyNumberFormat="1" applyFont="1" applyBorder="1"/>
    <xf numFmtId="41" fontId="62" fillId="0" borderId="0" xfId="6" applyNumberFormat="1" applyFont="1" applyFill="1" applyBorder="1"/>
    <xf numFmtId="3" fontId="56" fillId="0" borderId="0" xfId="6" applyNumberFormat="1" applyFont="1"/>
    <xf numFmtId="41" fontId="56" fillId="0" borderId="0" xfId="6" applyNumberFormat="1" applyFont="1" applyFill="1"/>
    <xf numFmtId="41" fontId="56" fillId="0" borderId="0" xfId="5" applyNumberFormat="1" applyFont="1" applyFill="1"/>
    <xf numFmtId="3" fontId="56" fillId="0" borderId="0" xfId="5" applyNumberFormat="1" applyFont="1" applyFill="1"/>
    <xf numFmtId="0" fontId="63" fillId="0" borderId="0" xfId="0" applyFont="1" applyBorder="1" applyAlignment="1">
      <alignment horizontal="left"/>
    </xf>
    <xf numFmtId="3" fontId="56" fillId="0" borderId="0" xfId="5" applyNumberFormat="1" applyFont="1" applyFill="1" applyBorder="1"/>
    <xf numFmtId="0" fontId="57" fillId="0" borderId="0" xfId="0" applyFont="1"/>
    <xf numFmtId="0" fontId="57" fillId="0" borderId="0" xfId="0" applyFont="1" applyBorder="1"/>
    <xf numFmtId="180" fontId="57" fillId="0" borderId="0" xfId="0" applyNumberFormat="1" applyFont="1"/>
    <xf numFmtId="0" fontId="57" fillId="0" borderId="0" xfId="0" applyFont="1" applyFill="1"/>
    <xf numFmtId="0" fontId="58" fillId="0" borderId="0" xfId="0" applyFont="1"/>
    <xf numFmtId="0" fontId="64" fillId="0" borderId="0" xfId="0" applyFont="1"/>
    <xf numFmtId="0" fontId="64" fillId="0" borderId="0" xfId="0" applyFont="1" applyFill="1"/>
    <xf numFmtId="180" fontId="64" fillId="0" borderId="0" xfId="0" applyNumberFormat="1" applyFont="1"/>
    <xf numFmtId="42" fontId="5" fillId="5" borderId="8" xfId="6" applyNumberFormat="1" applyFont="1" applyFill="1" applyBorder="1"/>
    <xf numFmtId="0" fontId="0" fillId="0" borderId="0" xfId="0" applyBorder="1"/>
    <xf numFmtId="0" fontId="0" fillId="0" borderId="10" xfId="0" applyBorder="1"/>
    <xf numFmtId="180" fontId="57" fillId="0" borderId="0" xfId="0" applyNumberFormat="1" applyFont="1" applyBorder="1"/>
    <xf numFmtId="0" fontId="9" fillId="0" borderId="0" xfId="0" applyFont="1" applyFill="1" applyBorder="1" applyAlignment="1">
      <alignment horizontal="center"/>
    </xf>
    <xf numFmtId="5" fontId="1" fillId="0" borderId="0" xfId="0" applyNumberFormat="1" applyFont="1" applyBorder="1"/>
    <xf numFmtId="174" fontId="1" fillId="0" borderId="0" xfId="0" applyNumberFormat="1" applyFont="1" applyFill="1" applyBorder="1"/>
    <xf numFmtId="0" fontId="1" fillId="0" borderId="0" xfId="0" applyFont="1" applyFill="1" applyBorder="1"/>
    <xf numFmtId="0" fontId="1" fillId="0" borderId="0" xfId="0" applyFont="1" applyBorder="1"/>
    <xf numFmtId="0" fontId="65" fillId="0" borderId="0" xfId="0" applyFont="1" applyBorder="1"/>
    <xf numFmtId="0" fontId="65" fillId="0" borderId="0" xfId="0" applyFont="1"/>
    <xf numFmtId="41" fontId="36" fillId="0" borderId="0" xfId="5" applyNumberFormat="1" applyFont="1" applyFill="1" applyAlignment="1">
      <alignment horizontal="center"/>
    </xf>
    <xf numFmtId="3" fontId="36" fillId="0" borderId="0" xfId="6" applyNumberFormat="1" applyFont="1" applyAlignment="1">
      <alignment horizontal="center"/>
    </xf>
    <xf numFmtId="3" fontId="37" fillId="0" borderId="5" xfId="5" applyNumberFormat="1" applyFont="1" applyBorder="1" applyAlignment="1">
      <alignment horizontal="center"/>
    </xf>
    <xf numFmtId="3" fontId="37" fillId="0" borderId="8" xfId="5" applyNumberFormat="1" applyFont="1" applyBorder="1" applyAlignment="1">
      <alignment horizontal="center"/>
    </xf>
    <xf numFmtId="4" fontId="37" fillId="0" borderId="0" xfId="6" applyNumberFormat="1" applyFont="1" applyFill="1" applyBorder="1" applyAlignment="1">
      <alignment horizontal="center"/>
    </xf>
    <xf numFmtId="42" fontId="36" fillId="0" borderId="0" xfId="4" applyNumberFormat="1" applyFont="1" applyFill="1"/>
    <xf numFmtId="41" fontId="36" fillId="0" borderId="0" xfId="4" applyNumberFormat="1" applyFont="1" applyFill="1"/>
    <xf numFmtId="41" fontId="36" fillId="0" borderId="10" xfId="4" applyNumberFormat="1" applyFont="1" applyFill="1" applyBorder="1"/>
    <xf numFmtId="41" fontId="37" fillId="0" borderId="0" xfId="6" applyNumberFormat="1" applyFont="1"/>
    <xf numFmtId="41" fontId="37" fillId="0" borderId="0" xfId="4" applyNumberFormat="1" applyFont="1" applyFill="1"/>
    <xf numFmtId="42" fontId="37" fillId="0" borderId="0" xfId="4" applyNumberFormat="1" applyFont="1" applyFill="1"/>
    <xf numFmtId="41" fontId="37" fillId="0" borderId="10" xfId="4" applyNumberFormat="1" applyFont="1" applyFill="1" applyBorder="1"/>
    <xf numFmtId="41" fontId="36" fillId="0" borderId="0" xfId="4" applyNumberFormat="1" applyFont="1" applyFill="1" applyBorder="1"/>
    <xf numFmtId="41" fontId="37" fillId="0" borderId="0" xfId="6" applyNumberFormat="1" applyFont="1" applyFill="1"/>
    <xf numFmtId="3" fontId="36" fillId="0" borderId="0" xfId="5" applyNumberFormat="1" applyFont="1" applyFill="1" applyBorder="1"/>
    <xf numFmtId="3" fontId="37" fillId="0" borderId="0" xfId="6" applyNumberFormat="1" applyFont="1" applyFill="1" applyBorder="1"/>
    <xf numFmtId="3" fontId="37" fillId="0" borderId="0" xfId="6" applyNumberFormat="1" applyFont="1" applyBorder="1"/>
    <xf numFmtId="41" fontId="37" fillId="0" borderId="0" xfId="20" applyNumberFormat="1" applyFont="1" applyFill="1" applyAlignment="1">
      <alignment horizontal="center"/>
    </xf>
    <xf numFmtId="3" fontId="37" fillId="0" borderId="0" xfId="6" applyNumberFormat="1" applyFont="1" applyFill="1" applyAlignment="1">
      <alignment horizontal="center"/>
    </xf>
    <xf numFmtId="41" fontId="37" fillId="0" borderId="1" xfId="22" applyNumberFormat="1" applyFont="1" applyFill="1" applyBorder="1" applyAlignment="1">
      <alignment horizontal="center"/>
    </xf>
    <xf numFmtId="41" fontId="37" fillId="0" borderId="5" xfId="22" applyNumberFormat="1" applyFont="1" applyFill="1" applyBorder="1" applyAlignment="1">
      <alignment horizontal="center"/>
    </xf>
    <xf numFmtId="41" fontId="37" fillId="0" borderId="8" xfId="22" applyNumberFormat="1" applyFont="1" applyFill="1" applyBorder="1" applyAlignment="1">
      <alignment horizontal="center"/>
    </xf>
    <xf numFmtId="3" fontId="36" fillId="0" borderId="0" xfId="6" applyNumberFormat="1" applyFont="1" applyFill="1" applyBorder="1"/>
    <xf numFmtId="3" fontId="36" fillId="0" borderId="0" xfId="6" applyNumberFormat="1" applyFont="1" applyBorder="1"/>
    <xf numFmtId="3" fontId="37" fillId="0" borderId="1" xfId="6" applyNumberFormat="1" applyFont="1" applyFill="1" applyBorder="1" applyAlignment="1">
      <alignment horizontal="center"/>
    </xf>
    <xf numFmtId="3" fontId="37" fillId="0" borderId="5" xfId="6" applyNumberFormat="1" applyFont="1" applyFill="1" applyBorder="1" applyAlignment="1">
      <alignment horizontal="center"/>
    </xf>
    <xf numFmtId="3" fontId="37" fillId="0" borderId="8" xfId="6" applyNumberFormat="1" applyFont="1" applyFill="1" applyBorder="1" applyAlignment="1">
      <alignment horizontal="center"/>
    </xf>
    <xf numFmtId="10" fontId="26" fillId="0" borderId="23" xfId="7" applyNumberFormat="1" applyFont="1" applyFill="1" applyBorder="1"/>
    <xf numFmtId="10" fontId="26" fillId="0" borderId="38" xfId="7" applyNumberFormat="1" applyFont="1" applyFill="1" applyBorder="1"/>
    <xf numFmtId="41" fontId="5" fillId="0" borderId="5" xfId="23" applyNumberFormat="1" applyFont="1" applyFill="1" applyBorder="1" applyAlignment="1">
      <alignment horizontal="center"/>
    </xf>
    <xf numFmtId="2" fontId="5" fillId="0" borderId="0" xfId="10" applyNumberFormat="1" applyFont="1" applyFill="1" applyBorder="1" applyAlignment="1" applyProtection="1">
      <alignment horizontal="center"/>
    </xf>
    <xf numFmtId="0" fontId="27" fillId="0" borderId="0" xfId="0" applyFont="1" applyBorder="1" applyAlignment="1">
      <alignment horizontal="center"/>
    </xf>
    <xf numFmtId="0" fontId="27" fillId="0" borderId="0" xfId="0" applyFont="1" applyAlignment="1">
      <alignment horizontal="center"/>
    </xf>
    <xf numFmtId="0" fontId="27" fillId="0" borderId="26" xfId="0" applyFont="1" applyBorder="1" applyAlignment="1">
      <alignment horizontal="center"/>
    </xf>
    <xf numFmtId="0" fontId="27" fillId="0" borderId="26" xfId="0" applyFont="1" applyFill="1" applyBorder="1" applyAlignment="1">
      <alignment horizontal="center" wrapText="1"/>
    </xf>
    <xf numFmtId="0" fontId="26" fillId="0" borderId="0" xfId="0" applyFont="1" applyBorder="1"/>
    <xf numFmtId="0" fontId="39" fillId="0" borderId="0" xfId="0" applyFont="1" applyAlignment="1">
      <alignment horizontal="center"/>
    </xf>
    <xf numFmtId="0" fontId="39" fillId="0" borderId="0" xfId="0" applyFont="1"/>
    <xf numFmtId="42" fontId="36" fillId="0" borderId="0" xfId="0" applyNumberFormat="1" applyFont="1" applyBorder="1"/>
    <xf numFmtId="5" fontId="39" fillId="0" borderId="0" xfId="0" applyNumberFormat="1" applyFont="1"/>
    <xf numFmtId="5" fontId="36" fillId="0" borderId="0" xfId="0" applyNumberFormat="1" applyFont="1" applyBorder="1"/>
    <xf numFmtId="10" fontId="39" fillId="0" borderId="10" xfId="7" applyNumberFormat="1" applyFont="1" applyBorder="1"/>
    <xf numFmtId="10" fontId="36" fillId="0" borderId="0" xfId="7" applyNumberFormat="1" applyFont="1" applyBorder="1"/>
    <xf numFmtId="170" fontId="39" fillId="0" borderId="0" xfId="7" applyNumberFormat="1" applyFont="1" applyBorder="1"/>
    <xf numFmtId="170" fontId="36" fillId="0" borderId="0" xfId="7" applyNumberFormat="1" applyFont="1" applyBorder="1"/>
    <xf numFmtId="42" fontId="39" fillId="0" borderId="10" xfId="0" applyNumberFormat="1" applyFont="1" applyBorder="1"/>
    <xf numFmtId="0" fontId="36" fillId="0" borderId="0" xfId="0" applyFont="1" applyBorder="1"/>
    <xf numFmtId="169" fontId="39" fillId="0" borderId="0" xfId="0" applyNumberFormat="1" applyFont="1"/>
    <xf numFmtId="169" fontId="36" fillId="0" borderId="0" xfId="0" applyNumberFormat="1" applyFont="1" applyBorder="1"/>
    <xf numFmtId="0" fontId="39" fillId="0" borderId="0" xfId="0" applyFont="1" applyAlignment="1">
      <alignment horizontal="right"/>
    </xf>
    <xf numFmtId="5" fontId="36" fillId="0" borderId="0" xfId="0" applyNumberFormat="1" applyFont="1" applyFill="1" applyBorder="1"/>
    <xf numFmtId="0" fontId="65" fillId="0" borderId="0" xfId="0" applyFont="1" applyFill="1" applyBorder="1"/>
    <xf numFmtId="42" fontId="39" fillId="0" borderId="0" xfId="0" applyNumberFormat="1" applyFont="1" applyBorder="1"/>
    <xf numFmtId="10" fontId="68" fillId="0" borderId="0" xfId="7" applyNumberFormat="1" applyFont="1" applyFill="1" applyBorder="1" applyAlignment="1">
      <alignment horizontal="right"/>
    </xf>
    <xf numFmtId="37" fontId="39" fillId="0" borderId="0" xfId="5" applyNumberFormat="1" applyFont="1"/>
    <xf numFmtId="37" fontId="36" fillId="0" borderId="0" xfId="5" applyNumberFormat="1" applyFont="1" applyFill="1" applyBorder="1"/>
    <xf numFmtId="37" fontId="39" fillId="0" borderId="0" xfId="20" applyNumberFormat="1" applyFont="1"/>
    <xf numFmtId="0" fontId="39" fillId="0" borderId="0" xfId="20" applyFont="1" applyBorder="1"/>
    <xf numFmtId="0" fontId="39" fillId="0" borderId="0" xfId="20" applyFont="1"/>
    <xf numFmtId="5" fontId="39" fillId="0" borderId="0" xfId="0" applyNumberFormat="1" applyFont="1" applyBorder="1"/>
    <xf numFmtId="0" fontId="39" fillId="0" borderId="0" xfId="20" applyFont="1" applyBorder="1" applyAlignment="1">
      <alignment horizontal="center"/>
    </xf>
    <xf numFmtId="5" fontId="39" fillId="0" borderId="0" xfId="20" applyNumberFormat="1" applyFont="1" applyBorder="1"/>
    <xf numFmtId="0" fontId="65" fillId="0" borderId="0" xfId="20" applyFont="1" applyBorder="1" applyAlignment="1">
      <alignment horizontal="center"/>
    </xf>
    <xf numFmtId="5" fontId="65" fillId="0" borderId="0" xfId="0" applyNumberFormat="1" applyFont="1" applyBorder="1"/>
    <xf numFmtId="0" fontId="67" fillId="0" borderId="0" xfId="0" applyFont="1"/>
    <xf numFmtId="5" fontId="67" fillId="0" borderId="0" xfId="0" applyNumberFormat="1" applyFont="1" applyFill="1" applyBorder="1"/>
    <xf numFmtId="0" fontId="65" fillId="0" borderId="0" xfId="0" applyFont="1" applyFill="1"/>
    <xf numFmtId="0" fontId="39" fillId="0" borderId="0" xfId="0" applyFont="1" applyBorder="1" applyAlignment="1">
      <alignment horizontal="center"/>
    </xf>
    <xf numFmtId="37" fontId="39" fillId="0" borderId="0" xfId="20" applyNumberFormat="1" applyFont="1" applyBorder="1"/>
    <xf numFmtId="5" fontId="66" fillId="0" borderId="0" xfId="0" applyNumberFormat="1" applyFont="1" applyFill="1" applyBorder="1"/>
    <xf numFmtId="0" fontId="39" fillId="0" borderId="0" xfId="0" applyFont="1" applyBorder="1"/>
    <xf numFmtId="179" fontId="66" fillId="0" borderId="0" xfId="7" applyNumberFormat="1" applyFont="1" applyBorder="1"/>
    <xf numFmtId="37" fontId="26" fillId="0" borderId="24" xfId="5" applyNumberFormat="1" applyFont="1" applyFill="1" applyBorder="1"/>
    <xf numFmtId="0" fontId="9" fillId="0" borderId="10" xfId="0" applyFont="1" applyFill="1" applyBorder="1"/>
    <xf numFmtId="10" fontId="26" fillId="0" borderId="10" xfId="7" applyNumberFormat="1" applyFont="1" applyFill="1" applyBorder="1"/>
    <xf numFmtId="170" fontId="26" fillId="0" borderId="10" xfId="7" applyNumberFormat="1" applyFont="1" applyFill="1" applyBorder="1"/>
    <xf numFmtId="0" fontId="65" fillId="0" borderId="23" xfId="0" applyFont="1" applyFill="1" applyBorder="1"/>
    <xf numFmtId="10" fontId="39" fillId="0" borderId="0" xfId="7" applyNumberFormat="1" applyFont="1" applyFill="1" applyBorder="1"/>
    <xf numFmtId="10" fontId="39" fillId="0" borderId="39" xfId="7" applyNumberFormat="1" applyFont="1" applyFill="1" applyBorder="1"/>
    <xf numFmtId="167" fontId="26" fillId="0" borderId="0" xfId="7" applyNumberFormat="1" applyFont="1" applyFill="1" applyBorder="1"/>
    <xf numFmtId="170" fontId="39" fillId="0" borderId="0" xfId="7" applyNumberFormat="1" applyFont="1" applyFill="1" applyBorder="1"/>
    <xf numFmtId="10" fontId="39" fillId="0" borderId="23" xfId="7" applyNumberFormat="1" applyFont="1" applyFill="1" applyBorder="1"/>
    <xf numFmtId="41" fontId="36" fillId="0" borderId="11" xfId="20" applyNumberFormat="1" applyFont="1" applyFill="1" applyBorder="1" applyAlignment="1">
      <alignment horizontal="center" vertical="center"/>
    </xf>
    <xf numFmtId="3" fontId="5" fillId="0" borderId="5" xfId="6" applyNumberFormat="1" applyFont="1" applyFill="1" applyBorder="1"/>
    <xf numFmtId="3" fontId="37" fillId="0" borderId="0" xfId="6" applyNumberFormat="1" applyFont="1" applyFill="1" applyBorder="1" applyAlignment="1"/>
    <xf numFmtId="41" fontId="37" fillId="0" borderId="1" xfId="20" applyNumberFormat="1" applyFont="1" applyFill="1" applyBorder="1" applyAlignment="1">
      <alignment horizontal="center"/>
    </xf>
    <xf numFmtId="41" fontId="37" fillId="0" borderId="7" xfId="20" applyNumberFormat="1" applyFont="1" applyFill="1" applyBorder="1" applyAlignment="1">
      <alignment horizontal="center"/>
    </xf>
    <xf numFmtId="41" fontId="37" fillId="0" borderId="11" xfId="20" applyNumberFormat="1" applyFont="1" applyFill="1" applyBorder="1" applyAlignment="1">
      <alignment horizontal="center"/>
    </xf>
    <xf numFmtId="3" fontId="37" fillId="0" borderId="0" xfId="6" applyNumberFormat="1" applyFont="1" applyFill="1" applyBorder="1" applyAlignment="1">
      <alignment horizontal="center"/>
    </xf>
    <xf numFmtId="42" fontId="36" fillId="0" borderId="0" xfId="4" applyNumberFormat="1" applyFont="1" applyFill="1" applyBorder="1"/>
    <xf numFmtId="41" fontId="36" fillId="0" borderId="0" xfId="6" applyNumberFormat="1" applyFont="1" applyFill="1" applyBorder="1"/>
    <xf numFmtId="41" fontId="36" fillId="0" borderId="10" xfId="6" applyNumberFormat="1" applyFont="1" applyFill="1" applyBorder="1"/>
    <xf numFmtId="42" fontId="36" fillId="0" borderId="12" xfId="6" applyNumberFormat="1" applyFont="1" applyFill="1" applyBorder="1"/>
    <xf numFmtId="173" fontId="36" fillId="0" borderId="0" xfId="1" applyNumberFormat="1" applyFont="1" applyFill="1" applyBorder="1"/>
    <xf numFmtId="41" fontId="36" fillId="0" borderId="15" xfId="6" applyNumberFormat="1" applyFont="1" applyFill="1" applyBorder="1"/>
    <xf numFmtId="41" fontId="69" fillId="0" borderId="0" xfId="6" applyNumberFormat="1" applyFont="1" applyFill="1" applyBorder="1"/>
    <xf numFmtId="0" fontId="70" fillId="0" borderId="0" xfId="0" applyFont="1" applyBorder="1" applyAlignment="1">
      <alignment horizontal="left"/>
    </xf>
    <xf numFmtId="3" fontId="72" fillId="0" borderId="0" xfId="6" applyNumberFormat="1" applyFont="1" applyFill="1" applyBorder="1"/>
    <xf numFmtId="0" fontId="9" fillId="0" borderId="0" xfId="0" applyFont="1" applyAlignment="1">
      <alignment horizontal="center"/>
    </xf>
    <xf numFmtId="3" fontId="3" fillId="0" borderId="0" xfId="6" applyNumberFormat="1" applyFont="1" applyAlignment="1">
      <alignment horizontal="center"/>
    </xf>
    <xf numFmtId="0" fontId="5" fillId="0" borderId="0" xfId="5" applyNumberFormat="1" applyFont="1" applyAlignment="1">
      <alignment horizontal="left"/>
    </xf>
    <xf numFmtId="0" fontId="65" fillId="0" borderId="0" xfId="0" applyFont="1" applyBorder="1" applyAlignment="1">
      <alignment horizontal="center"/>
    </xf>
    <xf numFmtId="6" fontId="65" fillId="0" borderId="10" xfId="2" applyNumberFormat="1" applyFont="1" applyBorder="1" applyAlignment="1">
      <alignment horizontal="center"/>
    </xf>
    <xf numFmtId="0" fontId="65" fillId="0" borderId="15" xfId="0" applyFont="1" applyBorder="1" applyAlignment="1">
      <alignment horizontal="center"/>
    </xf>
    <xf numFmtId="6" fontId="65" fillId="0" borderId="0" xfId="2" applyNumberFormat="1" applyFont="1" applyBorder="1"/>
    <xf numFmtId="4" fontId="65" fillId="0" borderId="0" xfId="0" applyNumberFormat="1" applyFont="1" applyAlignment="1">
      <alignment horizontal="center"/>
    </xf>
    <xf numFmtId="3" fontId="65" fillId="0" borderId="0" xfId="0" applyNumberFormat="1" applyFont="1"/>
    <xf numFmtId="5" fontId="65" fillId="0" borderId="0" xfId="0" applyNumberFormat="1" applyFont="1"/>
    <xf numFmtId="37" fontId="65" fillId="0" borderId="0" xfId="0" applyNumberFormat="1" applyFont="1"/>
    <xf numFmtId="3" fontId="65" fillId="0" borderId="0" xfId="0" applyNumberFormat="1" applyFont="1" applyFill="1"/>
    <xf numFmtId="37" fontId="65" fillId="0" borderId="0" xfId="0" applyNumberFormat="1" applyFont="1" applyFill="1"/>
    <xf numFmtId="0" fontId="65" fillId="0" borderId="10" xfId="0" applyFont="1" applyBorder="1"/>
    <xf numFmtId="37" fontId="65" fillId="0" borderId="3" xfId="0" applyNumberFormat="1" applyFont="1" applyBorder="1"/>
    <xf numFmtId="4" fontId="65" fillId="0" borderId="0" xfId="0" applyNumberFormat="1" applyFont="1" applyFill="1" applyAlignment="1">
      <alignment horizontal="center"/>
    </xf>
    <xf numFmtId="5" fontId="65" fillId="0" borderId="16" xfId="0" applyNumberFormat="1" applyFont="1" applyBorder="1"/>
    <xf numFmtId="5" fontId="65" fillId="0" borderId="0" xfId="0" applyNumberFormat="1" applyFont="1" applyFill="1"/>
    <xf numFmtId="0" fontId="65" fillId="0" borderId="26" xfId="0" applyFont="1" applyBorder="1"/>
    <xf numFmtId="37" fontId="65" fillId="0" borderId="26" xfId="0" applyNumberFormat="1" applyFont="1" applyFill="1" applyBorder="1"/>
    <xf numFmtId="37" fontId="65" fillId="0" borderId="0" xfId="0" applyNumberFormat="1" applyFont="1" applyFill="1" applyBorder="1"/>
    <xf numFmtId="3" fontId="65" fillId="0" borderId="0" xfId="0" applyNumberFormat="1" applyFont="1" applyFill="1" applyBorder="1"/>
    <xf numFmtId="4" fontId="65" fillId="0" borderId="0" xfId="0" applyNumberFormat="1" applyFont="1" applyFill="1" applyBorder="1" applyAlignment="1">
      <alignment horizontal="center"/>
    </xf>
    <xf numFmtId="3" fontId="67" fillId="0" borderId="0" xfId="0" applyNumberFormat="1" applyFont="1" applyFill="1"/>
    <xf numFmtId="5" fontId="67" fillId="0" borderId="0" xfId="0" applyNumberFormat="1" applyFont="1"/>
    <xf numFmtId="37" fontId="67" fillId="0" borderId="0" xfId="0" applyNumberFormat="1" applyFont="1" applyFill="1"/>
    <xf numFmtId="42" fontId="9" fillId="0" borderId="0" xfId="0" applyNumberFormat="1" applyFont="1"/>
    <xf numFmtId="4" fontId="67" fillId="0" borderId="0" xfId="0" applyNumberFormat="1" applyFont="1" applyFill="1" applyBorder="1" applyAlignment="1">
      <alignment horizontal="center"/>
    </xf>
    <xf numFmtId="0" fontId="5" fillId="0" borderId="0" xfId="6" applyNumberFormat="1" applyFont="1" applyAlignment="1">
      <alignment horizontal="left"/>
    </xf>
    <xf numFmtId="41" fontId="3" fillId="0" borderId="0" xfId="1" applyNumberFormat="1" applyFont="1" applyFill="1" applyBorder="1"/>
    <xf numFmtId="0" fontId="75" fillId="0" borderId="0" xfId="0" applyFont="1" applyAlignment="1"/>
    <xf numFmtId="0" fontId="38" fillId="0" borderId="0" xfId="5" applyNumberFormat="1" applyFont="1" applyAlignment="1"/>
    <xf numFmtId="0" fontId="38" fillId="0" borderId="0" xfId="0" applyFont="1" applyAlignment="1">
      <alignment horizontal="left"/>
    </xf>
    <xf numFmtId="169" fontId="65" fillId="0" borderId="0" xfId="17" applyNumberFormat="1" applyFont="1"/>
    <xf numFmtId="41" fontId="65" fillId="0" borderId="0" xfId="6" applyNumberFormat="1" applyFont="1"/>
    <xf numFmtId="37" fontId="65" fillId="0" borderId="0" xfId="6" applyNumberFormat="1" applyFont="1"/>
    <xf numFmtId="41" fontId="3" fillId="0" borderId="0" xfId="0" applyNumberFormat="1" applyFont="1" applyFill="1"/>
    <xf numFmtId="41" fontId="76" fillId="0" borderId="0" xfId="0" applyNumberFormat="1" applyFont="1" applyFill="1"/>
    <xf numFmtId="41" fontId="3" fillId="0" borderId="10" xfId="0" applyNumberFormat="1" applyFont="1" applyFill="1" applyBorder="1"/>
    <xf numFmtId="41" fontId="76" fillId="0" borderId="10" xfId="0" applyNumberFormat="1" applyFont="1" applyFill="1" applyBorder="1"/>
    <xf numFmtId="0" fontId="27" fillId="4" borderId="19" xfId="0" applyFont="1" applyFill="1" applyBorder="1" applyAlignment="1">
      <alignment horizontal="left"/>
    </xf>
    <xf numFmtId="5" fontId="65" fillId="0" borderId="0" xfId="0" applyNumberFormat="1" applyFont="1" applyFill="1" applyBorder="1"/>
    <xf numFmtId="5" fontId="65" fillId="0" borderId="26" xfId="0" applyNumberFormat="1" applyFont="1" applyFill="1" applyBorder="1"/>
    <xf numFmtId="2" fontId="65" fillId="0" borderId="0" xfId="0" applyNumberFormat="1" applyFont="1" applyFill="1" applyBorder="1" applyAlignment="1">
      <alignment horizontal="left"/>
    </xf>
    <xf numFmtId="2" fontId="65" fillId="0" borderId="0" xfId="0" applyNumberFormat="1" applyFont="1" applyFill="1" applyAlignment="1">
      <alignment horizontal="left"/>
    </xf>
    <xf numFmtId="41" fontId="3" fillId="0" borderId="5" xfId="0" applyNumberFormat="1" applyFont="1" applyFill="1" applyBorder="1" applyAlignment="1">
      <alignment horizontal="center"/>
    </xf>
    <xf numFmtId="41" fontId="3" fillId="0" borderId="8" xfId="0" applyNumberFormat="1" applyFont="1" applyFill="1" applyBorder="1" applyAlignment="1">
      <alignment horizontal="center"/>
    </xf>
    <xf numFmtId="0" fontId="55" fillId="0" borderId="0" xfId="6" applyNumberFormat="1" applyFont="1" applyAlignment="1">
      <alignment horizontal="left"/>
    </xf>
    <xf numFmtId="3" fontId="65" fillId="0" borderId="0" xfId="13" applyNumberFormat="1" applyFont="1"/>
    <xf numFmtId="4" fontId="65" fillId="0" borderId="0" xfId="13" applyNumberFormat="1" applyFont="1" applyBorder="1" applyAlignment="1">
      <alignment horizontal="centerContinuous"/>
    </xf>
    <xf numFmtId="3" fontId="65" fillId="0" borderId="0" xfId="13" applyNumberFormat="1" applyFont="1" applyBorder="1" applyAlignment="1">
      <alignment horizontal="left"/>
    </xf>
    <xf numFmtId="3" fontId="65" fillId="0" borderId="0" xfId="13" applyNumberFormat="1" applyFont="1" applyBorder="1" applyAlignment="1">
      <alignment horizontal="centerContinuous"/>
    </xf>
    <xf numFmtId="0" fontId="65" fillId="0" borderId="0" xfId="13" applyFont="1" applyBorder="1" applyAlignment="1">
      <alignment horizontal="centerContinuous"/>
    </xf>
    <xf numFmtId="3" fontId="65" fillId="0" borderId="0" xfId="13" applyNumberFormat="1" applyFont="1" applyAlignment="1">
      <alignment horizontal="center"/>
    </xf>
    <xf numFmtId="4" fontId="65" fillId="0" borderId="0" xfId="13" applyNumberFormat="1" applyFont="1" applyAlignment="1">
      <alignment horizontal="center"/>
    </xf>
    <xf numFmtId="3" fontId="65" fillId="0" borderId="0" xfId="13" applyNumberFormat="1" applyFont="1" applyAlignment="1">
      <alignment horizontal="left"/>
    </xf>
    <xf numFmtId="0" fontId="65" fillId="0" borderId="0" xfId="13" applyFont="1"/>
    <xf numFmtId="0" fontId="65" fillId="0" borderId="0" xfId="13" applyFont="1" applyBorder="1" applyAlignment="1">
      <alignment horizontal="center"/>
    </xf>
    <xf numFmtId="0" fontId="65" fillId="0" borderId="0" xfId="13" applyFont="1" applyAlignment="1">
      <alignment horizontal="center"/>
    </xf>
    <xf numFmtId="3" fontId="65" fillId="0" borderId="10" xfId="13" applyNumberFormat="1" applyFont="1" applyBorder="1" applyAlignment="1">
      <alignment horizontal="left"/>
    </xf>
    <xf numFmtId="0" fontId="65" fillId="0" borderId="10" xfId="13" applyFont="1" applyBorder="1" applyAlignment="1">
      <alignment horizontal="center"/>
    </xf>
    <xf numFmtId="3" fontId="65" fillId="0" borderId="10" xfId="13" applyNumberFormat="1" applyFont="1" applyBorder="1" applyAlignment="1">
      <alignment horizontal="center"/>
    </xf>
    <xf numFmtId="41" fontId="65" fillId="0" borderId="0" xfId="13" applyNumberFormat="1" applyFont="1" applyAlignment="1">
      <alignment horizontal="right"/>
    </xf>
    <xf numFmtId="41" fontId="65" fillId="0" borderId="0" xfId="13" applyNumberFormat="1" applyFont="1"/>
    <xf numFmtId="4" fontId="65" fillId="0" borderId="0" xfId="13" applyNumberFormat="1" applyFont="1" applyAlignment="1">
      <alignment horizontal="left"/>
    </xf>
    <xf numFmtId="41" fontId="65" fillId="0" borderId="10" xfId="13" applyNumberFormat="1" applyFont="1" applyBorder="1"/>
    <xf numFmtId="41" fontId="65" fillId="0" borderId="10" xfId="13" applyNumberFormat="1" applyFont="1" applyBorder="1" applyAlignment="1">
      <alignment horizontal="right"/>
    </xf>
    <xf numFmtId="41" fontId="65" fillId="0" borderId="0" xfId="1" applyNumberFormat="1" applyFont="1"/>
    <xf numFmtId="41" fontId="65" fillId="0" borderId="0" xfId="1" applyNumberFormat="1" applyFont="1" applyAlignment="1">
      <alignment horizontal="right"/>
    </xf>
    <xf numFmtId="10" fontId="65" fillId="0" borderId="10" xfId="7" applyNumberFormat="1" applyFont="1" applyBorder="1"/>
    <xf numFmtId="9" fontId="65" fillId="0" borderId="0" xfId="7" applyFont="1"/>
    <xf numFmtId="41" fontId="67" fillId="0" borderId="10" xfId="1" applyNumberFormat="1" applyFont="1" applyFill="1" applyBorder="1"/>
    <xf numFmtId="41" fontId="65" fillId="0" borderId="10" xfId="1" applyNumberFormat="1" applyFont="1" applyFill="1" applyBorder="1"/>
    <xf numFmtId="41" fontId="65" fillId="0" borderId="10" xfId="1" applyNumberFormat="1" applyFont="1" applyBorder="1"/>
    <xf numFmtId="41" fontId="65" fillId="0" borderId="0" xfId="1" applyNumberFormat="1" applyFont="1" applyFill="1" applyBorder="1"/>
    <xf numFmtId="41" fontId="65" fillId="0" borderId="0" xfId="1" applyNumberFormat="1" applyFont="1" applyBorder="1"/>
    <xf numFmtId="9" fontId="65" fillId="0" borderId="10" xfId="7" applyFont="1" applyBorder="1"/>
    <xf numFmtId="41" fontId="65" fillId="0" borderId="12" xfId="1" applyNumberFormat="1" applyFont="1" applyBorder="1"/>
    <xf numFmtId="3" fontId="79" fillId="0" borderId="0" xfId="13" applyNumberFormat="1" applyFont="1"/>
    <xf numFmtId="0" fontId="65" fillId="0" borderId="0" xfId="13" applyFont="1" applyBorder="1"/>
    <xf numFmtId="41" fontId="65" fillId="0" borderId="18" xfId="1" applyNumberFormat="1" applyFont="1" applyFill="1" applyBorder="1"/>
    <xf numFmtId="37" fontId="35" fillId="0" borderId="0" xfId="5" applyNumberFormat="1" applyFont="1" applyFill="1" applyBorder="1" applyAlignment="1">
      <alignment vertical="top"/>
    </xf>
    <xf numFmtId="0" fontId="16" fillId="0" borderId="0" xfId="0" applyFont="1" applyFill="1"/>
    <xf numFmtId="0" fontId="35" fillId="0" borderId="0" xfId="6" applyNumberFormat="1" applyFont="1" applyFill="1" applyAlignment="1">
      <alignment horizontal="center"/>
    </xf>
    <xf numFmtId="0" fontId="35" fillId="0" borderId="0" xfId="0" applyFont="1" applyFill="1"/>
    <xf numFmtId="0" fontId="10" fillId="0" borderId="0" xfId="0" applyFont="1" applyFill="1" applyAlignment="1">
      <alignment horizontal="center"/>
    </xf>
    <xf numFmtId="42" fontId="5" fillId="0" borderId="0" xfId="6" applyNumberFormat="1" applyFont="1" applyFill="1" applyBorder="1" applyAlignment="1">
      <alignment horizontal="center"/>
    </xf>
    <xf numFmtId="0" fontId="10" fillId="0" borderId="0" xfId="0" applyFont="1" applyAlignment="1">
      <alignment horizontal="center"/>
    </xf>
    <xf numFmtId="0" fontId="65" fillId="0" borderId="10" xfId="0" applyFont="1" applyBorder="1" applyAlignment="1">
      <alignment horizontal="center"/>
    </xf>
    <xf numFmtId="0" fontId="9" fillId="0" borderId="0" xfId="0" applyFont="1" applyAlignment="1">
      <alignment horizontal="center"/>
    </xf>
    <xf numFmtId="3" fontId="72" fillId="0" borderId="0" xfId="22" applyNumberFormat="1" applyFont="1" applyFill="1" applyBorder="1"/>
    <xf numFmtId="3" fontId="73" fillId="0" borderId="0" xfId="22" applyNumberFormat="1" applyFont="1" applyFill="1" applyBorder="1"/>
    <xf numFmtId="177" fontId="3" fillId="0" borderId="0" xfId="6" applyNumberFormat="1" applyFont="1" applyFill="1" applyBorder="1"/>
    <xf numFmtId="178" fontId="3" fillId="0" borderId="0" xfId="6" applyNumberFormat="1" applyFont="1" applyFill="1" applyBorder="1"/>
    <xf numFmtId="41" fontId="5" fillId="5" borderId="2" xfId="20" quotePrefix="1" applyNumberFormat="1" applyFont="1" applyFill="1" applyBorder="1" applyAlignment="1">
      <alignment horizontal="center"/>
    </xf>
    <xf numFmtId="41" fontId="5" fillId="5" borderId="6" xfId="20" applyNumberFormat="1" applyFont="1" applyFill="1" applyBorder="1" applyAlignment="1">
      <alignment horizontal="center"/>
    </xf>
    <xf numFmtId="41" fontId="5" fillId="5" borderId="9" xfId="20" applyNumberFormat="1" applyFont="1" applyFill="1" applyBorder="1" applyAlignment="1">
      <alignment horizontal="center"/>
    </xf>
    <xf numFmtId="2" fontId="5" fillId="5" borderId="2" xfId="20" applyNumberFormat="1" applyFont="1" applyFill="1" applyBorder="1" applyAlignment="1">
      <alignment horizontal="center"/>
    </xf>
    <xf numFmtId="3" fontId="5" fillId="5" borderId="0" xfId="6" applyNumberFormat="1" applyFont="1" applyFill="1" applyBorder="1"/>
    <xf numFmtId="42" fontId="5" fillId="5" borderId="0" xfId="6" applyNumberFormat="1" applyFont="1" applyFill="1" applyBorder="1"/>
    <xf numFmtId="42" fontId="5" fillId="5" borderId="32" xfId="6" applyNumberFormat="1" applyFont="1" applyFill="1" applyBorder="1"/>
    <xf numFmtId="41" fontId="5" fillId="5" borderId="0" xfId="6" applyNumberFormat="1" applyFont="1" applyFill="1" applyBorder="1"/>
    <xf numFmtId="41" fontId="5" fillId="5" borderId="32" xfId="6" applyNumberFormat="1" applyFont="1" applyFill="1" applyBorder="1"/>
    <xf numFmtId="41" fontId="3" fillId="5" borderId="0" xfId="4" applyNumberFormat="1" applyFont="1" applyFill="1" applyBorder="1"/>
    <xf numFmtId="41" fontId="5" fillId="5" borderId="10" xfId="6" applyNumberFormat="1" applyFont="1" applyFill="1" applyBorder="1"/>
    <xf numFmtId="42" fontId="5" fillId="5" borderId="12" xfId="6" applyNumberFormat="1" applyFont="1" applyFill="1" applyBorder="1"/>
    <xf numFmtId="41" fontId="5" fillId="5" borderId="15" xfId="6" applyNumberFormat="1" applyFont="1" applyFill="1" applyBorder="1"/>
    <xf numFmtId="41" fontId="31" fillId="0" borderId="0" xfId="20" applyNumberFormat="1" applyFont="1" applyFill="1" applyBorder="1" applyAlignment="1">
      <alignment horizontal="left" vertical="center"/>
    </xf>
    <xf numFmtId="3" fontId="49" fillId="0" borderId="0" xfId="22" applyNumberFormat="1" applyFont="1" applyFill="1" applyBorder="1"/>
    <xf numFmtId="41" fontId="25" fillId="0" borderId="0" xfId="20" applyNumberFormat="1" applyFont="1" applyFill="1" applyBorder="1" applyAlignment="1"/>
    <xf numFmtId="14" fontId="31" fillId="0" borderId="0" xfId="20" applyNumberFormat="1" applyFont="1" applyFill="1" applyBorder="1" applyAlignment="1">
      <alignment horizontal="left" vertical="center"/>
    </xf>
    <xf numFmtId="3" fontId="26" fillId="0" borderId="0" xfId="6" applyNumberFormat="1" applyFont="1" applyFill="1" applyBorder="1"/>
    <xf numFmtId="0" fontId="73" fillId="0" borderId="0" xfId="6" applyFont="1" applyFill="1" applyBorder="1"/>
    <xf numFmtId="0" fontId="74" fillId="0" borderId="0" xfId="0" applyFont="1" applyFill="1" applyBorder="1"/>
    <xf numFmtId="3" fontId="71" fillId="0" borderId="0" xfId="6" applyNumberFormat="1" applyFont="1" applyFill="1" applyBorder="1"/>
    <xf numFmtId="0" fontId="3" fillId="0" borderId="0" xfId="6" applyFont="1" applyFill="1" applyBorder="1" applyAlignment="1">
      <alignment horizontal="center"/>
    </xf>
    <xf numFmtId="41" fontId="5" fillId="0" borderId="0" xfId="5" applyNumberFormat="1" applyFont="1" applyFill="1" applyBorder="1" applyAlignment="1">
      <alignment horizontal="center"/>
    </xf>
    <xf numFmtId="41" fontId="3" fillId="0" borderId="0" xfId="5" applyNumberFormat="1" applyFont="1" applyFill="1" applyBorder="1" applyAlignment="1">
      <alignment horizontal="center"/>
    </xf>
    <xf numFmtId="41" fontId="5" fillId="0" borderId="0" xfId="20" quotePrefix="1" applyNumberFormat="1" applyFont="1" applyFill="1" applyBorder="1" applyAlignment="1">
      <alignment horizontal="center"/>
    </xf>
    <xf numFmtId="3" fontId="10" fillId="0" borderId="0" xfId="6" quotePrefix="1" applyNumberFormat="1" applyFont="1" applyFill="1" applyBorder="1" applyAlignment="1">
      <alignment horizontal="center"/>
    </xf>
    <xf numFmtId="0" fontId="5" fillId="0" borderId="0" xfId="6" applyFont="1" applyFill="1" applyBorder="1" applyAlignment="1">
      <alignment horizontal="center"/>
    </xf>
    <xf numFmtId="3" fontId="5" fillId="0" borderId="0" xfId="5" applyNumberFormat="1" applyFont="1" applyFill="1" applyBorder="1" applyAlignment="1">
      <alignment horizontal="center"/>
    </xf>
    <xf numFmtId="2" fontId="5" fillId="0" borderId="0" xfId="20" applyNumberFormat="1" applyFont="1" applyFill="1" applyBorder="1" applyAlignment="1">
      <alignment horizontal="center"/>
    </xf>
    <xf numFmtId="5" fontId="3" fillId="0" borderId="0" xfId="6" applyNumberFormat="1" applyFont="1" applyFill="1" applyBorder="1"/>
    <xf numFmtId="42" fontId="3" fillId="0" borderId="0" xfId="6" applyNumberFormat="1" applyFont="1" applyFill="1" applyBorder="1"/>
    <xf numFmtId="41" fontId="5" fillId="0" borderId="0" xfId="4" applyNumberFormat="1" applyFont="1" applyFill="1" applyBorder="1"/>
    <xf numFmtId="42" fontId="5" fillId="0" borderId="0" xfId="4" applyNumberFormat="1" applyFont="1" applyFill="1" applyBorder="1"/>
    <xf numFmtId="174" fontId="0" fillId="0" borderId="0" xfId="0" applyNumberFormat="1" applyFill="1" applyBorder="1" applyAlignment="1">
      <alignment horizontal="center"/>
    </xf>
    <xf numFmtId="1" fontId="3" fillId="0" borderId="0" xfId="6" applyNumberFormat="1" applyFont="1" applyFill="1" applyBorder="1"/>
    <xf numFmtId="42" fontId="5" fillId="0" borderId="0" xfId="6" quotePrefix="1" applyNumberFormat="1" applyFont="1" applyFill="1" applyBorder="1" applyAlignment="1">
      <alignment horizontal="center"/>
    </xf>
    <xf numFmtId="5" fontId="5" fillId="0" borderId="0" xfId="6" applyNumberFormat="1" applyFont="1" applyFill="1" applyBorder="1"/>
    <xf numFmtId="10" fontId="5" fillId="0" borderId="0" xfId="7" applyNumberFormat="1" applyFont="1" applyFill="1" applyBorder="1" applyAlignment="1">
      <alignment horizontal="center"/>
    </xf>
    <xf numFmtId="174" fontId="5" fillId="0" borderId="0" xfId="2" applyNumberFormat="1" applyFont="1" applyFill="1" applyBorder="1"/>
    <xf numFmtId="5" fontId="5" fillId="0" borderId="0" xfId="6" applyNumberFormat="1" applyFont="1" applyFill="1" applyBorder="1" applyAlignment="1">
      <alignment horizontal="center"/>
    </xf>
    <xf numFmtId="173" fontId="5" fillId="0" borderId="0" xfId="1" applyNumberFormat="1" applyFont="1" applyFill="1" applyBorder="1"/>
    <xf numFmtId="41" fontId="3" fillId="0" borderId="0" xfId="5" applyNumberFormat="1" applyFont="1" applyFill="1" applyBorder="1"/>
    <xf numFmtId="0" fontId="3" fillId="0" borderId="0" xfId="0" applyFont="1" applyFill="1" applyBorder="1"/>
    <xf numFmtId="41" fontId="3" fillId="0" borderId="0" xfId="0" applyNumberFormat="1" applyFont="1" applyFill="1" applyBorder="1"/>
    <xf numFmtId="0" fontId="10" fillId="0" borderId="0" xfId="0" applyFont="1" applyBorder="1"/>
    <xf numFmtId="174" fontId="10" fillId="0" borderId="0" xfId="2" applyNumberFormat="1" applyFont="1" applyBorder="1"/>
    <xf numFmtId="0" fontId="10" fillId="0" borderId="0" xfId="0" applyFont="1" applyFill="1" applyAlignment="1"/>
    <xf numFmtId="0" fontId="19" fillId="0" borderId="0" xfId="0" applyFont="1" applyBorder="1"/>
    <xf numFmtId="0" fontId="27" fillId="0" borderId="0" xfId="17" applyFont="1" applyAlignment="1">
      <alignment vertical="center"/>
    </xf>
    <xf numFmtId="0" fontId="1" fillId="0" borderId="0" xfId="17"/>
    <xf numFmtId="0" fontId="26" fillId="0" borderId="0" xfId="17" applyFont="1" applyAlignment="1">
      <alignment vertical="center"/>
    </xf>
    <xf numFmtId="0" fontId="9" fillId="0" borderId="0" xfId="17" applyFont="1"/>
    <xf numFmtId="14" fontId="10" fillId="0" borderId="0" xfId="0" applyNumberFormat="1" applyFont="1"/>
    <xf numFmtId="169" fontId="10" fillId="0" borderId="0" xfId="0" applyNumberFormat="1" applyFont="1" applyAlignment="1">
      <alignment horizontal="right"/>
    </xf>
    <xf numFmtId="0" fontId="26" fillId="0" borderId="0" xfId="17" applyFont="1"/>
    <xf numFmtId="0" fontId="26" fillId="0" borderId="0" xfId="17" quotePrefix="1" applyFont="1"/>
    <xf numFmtId="0" fontId="26" fillId="0" borderId="0" xfId="17" applyFont="1" applyAlignment="1">
      <alignment wrapText="1"/>
    </xf>
    <xf numFmtId="37" fontId="9" fillId="0" borderId="0" xfId="5" applyNumberFormat="1" applyFont="1" applyFill="1" applyBorder="1" applyAlignment="1">
      <alignment vertical="top"/>
    </xf>
    <xf numFmtId="0" fontId="9" fillId="0" borderId="0" xfId="0" applyFont="1" applyFill="1" applyBorder="1" applyAlignment="1">
      <alignment horizontal="left"/>
    </xf>
    <xf numFmtId="37" fontId="65" fillId="6" borderId="0" xfId="0" applyNumberFormat="1" applyFont="1" applyFill="1" applyBorder="1"/>
    <xf numFmtId="0" fontId="65" fillId="6" borderId="0" xfId="0" applyFont="1" applyFill="1" applyBorder="1"/>
    <xf numFmtId="0" fontId="65" fillId="6" borderId="0" xfId="0" applyFont="1" applyFill="1"/>
    <xf numFmtId="5" fontId="65" fillId="6" borderId="16" xfId="0" applyNumberFormat="1" applyFont="1" applyFill="1" applyBorder="1"/>
    <xf numFmtId="173" fontId="1" fillId="6" borderId="0" xfId="1" applyNumberFormat="1" applyFont="1" applyFill="1" applyBorder="1"/>
    <xf numFmtId="37" fontId="1" fillId="6" borderId="0" xfId="0" applyNumberFormat="1" applyFont="1" applyFill="1" applyBorder="1"/>
    <xf numFmtId="37" fontId="1" fillId="6" borderId="16" xfId="0" applyNumberFormat="1" applyFont="1" applyFill="1" applyBorder="1"/>
    <xf numFmtId="42" fontId="39" fillId="6" borderId="0" xfId="0" applyNumberFormat="1" applyFont="1" applyFill="1"/>
    <xf numFmtId="5" fontId="39" fillId="6" borderId="0" xfId="0" applyNumberFormat="1" applyFont="1" applyFill="1"/>
    <xf numFmtId="5" fontId="66" fillId="6" borderId="34" xfId="0" applyNumberFormat="1" applyFont="1" applyFill="1" applyBorder="1"/>
    <xf numFmtId="167" fontId="66" fillId="6" borderId="16" xfId="7" applyNumberFormat="1" applyFont="1" applyFill="1" applyBorder="1"/>
    <xf numFmtId="41" fontId="39" fillId="6" borderId="0" xfId="0" applyNumberFormat="1" applyFont="1" applyFill="1" applyBorder="1"/>
    <xf numFmtId="0" fontId="39" fillId="0" borderId="0" xfId="0" applyFont="1" applyFill="1"/>
    <xf numFmtId="41" fontId="3" fillId="6" borderId="0" xfId="6" applyNumberFormat="1" applyFont="1" applyFill="1"/>
    <xf numFmtId="37" fontId="3" fillId="6" borderId="12" xfId="6" applyNumberFormat="1" applyFont="1" applyFill="1" applyBorder="1"/>
    <xf numFmtId="41" fontId="3" fillId="6" borderId="10" xfId="6" applyNumberFormat="1" applyFont="1" applyFill="1" applyBorder="1"/>
    <xf numFmtId="41" fontId="3" fillId="6" borderId="15" xfId="6" applyNumberFormat="1" applyFont="1" applyFill="1" applyBorder="1"/>
    <xf numFmtId="41" fontId="3" fillId="6" borderId="12" xfId="6" applyNumberFormat="1" applyFont="1" applyFill="1" applyBorder="1"/>
    <xf numFmtId="168" fontId="3" fillId="6" borderId="0" xfId="6" applyNumberFormat="1" applyFont="1" applyFill="1"/>
    <xf numFmtId="41" fontId="3" fillId="7" borderId="5" xfId="4" applyNumberFormat="1" applyFont="1" applyFill="1" applyBorder="1"/>
    <xf numFmtId="41" fontId="5" fillId="4" borderId="0" xfId="6" applyNumberFormat="1" applyFont="1" applyFill="1" applyBorder="1"/>
    <xf numFmtId="3" fontId="5" fillId="4" borderId="0" xfId="6" applyNumberFormat="1" applyFont="1" applyFill="1" applyBorder="1"/>
    <xf numFmtId="41" fontId="5" fillId="6" borderId="0" xfId="6" applyNumberFormat="1" applyFont="1" applyFill="1" applyBorder="1"/>
    <xf numFmtId="41" fontId="5" fillId="6" borderId="9" xfId="6" applyNumberFormat="1" applyFont="1" applyFill="1" applyBorder="1"/>
    <xf numFmtId="42" fontId="5" fillId="6" borderId="12" xfId="6" applyNumberFormat="1" applyFont="1" applyFill="1" applyBorder="1"/>
    <xf numFmtId="10" fontId="5" fillId="6" borderId="0" xfId="7" applyNumberFormat="1" applyFont="1" applyFill="1" applyBorder="1"/>
    <xf numFmtId="3" fontId="5" fillId="6" borderId="37" xfId="6" applyNumberFormat="1" applyFont="1" applyFill="1" applyBorder="1"/>
    <xf numFmtId="42" fontId="5" fillId="6" borderId="33" xfId="6" applyNumberFormat="1" applyFont="1" applyFill="1" applyBorder="1"/>
    <xf numFmtId="41" fontId="3" fillId="6" borderId="5" xfId="4" applyNumberFormat="1" applyFont="1" applyFill="1" applyBorder="1"/>
    <xf numFmtId="0" fontId="26" fillId="0" borderId="0" xfId="17" applyFont="1" applyAlignment="1">
      <alignment horizontal="left" vertical="center" wrapText="1"/>
    </xf>
    <xf numFmtId="0" fontId="26" fillId="0" borderId="0" xfId="17" applyFont="1" applyAlignment="1">
      <alignment horizontal="left" wrapText="1"/>
    </xf>
    <xf numFmtId="41" fontId="31" fillId="5" borderId="13" xfId="0" quotePrefix="1" applyNumberFormat="1" applyFont="1" applyFill="1" applyBorder="1" applyAlignment="1">
      <alignment horizontal="center"/>
    </xf>
    <xf numFmtId="41" fontId="31" fillId="5" borderId="15" xfId="0" quotePrefix="1" applyNumberFormat="1" applyFont="1" applyFill="1" applyBorder="1" applyAlignment="1">
      <alignment horizontal="center"/>
    </xf>
    <xf numFmtId="41" fontId="31" fillId="5" borderId="14" xfId="0" quotePrefix="1" applyNumberFormat="1" applyFont="1" applyFill="1" applyBorder="1" applyAlignment="1">
      <alignment horizontal="center"/>
    </xf>
    <xf numFmtId="0" fontId="5" fillId="0" borderId="0" xfId="0" applyFont="1" applyBorder="1" applyAlignment="1">
      <alignment horizontal="center" wrapText="1"/>
    </xf>
    <xf numFmtId="0" fontId="10" fillId="0" borderId="0" xfId="0" applyFont="1" applyAlignment="1">
      <alignment horizontal="center"/>
    </xf>
    <xf numFmtId="0" fontId="10" fillId="0" borderId="0" xfId="0" applyFont="1" applyFill="1" applyAlignment="1">
      <alignment horizontal="center"/>
    </xf>
    <xf numFmtId="0" fontId="9" fillId="0" borderId="0" xfId="0" applyFont="1" applyAlignment="1">
      <alignment horizontal="left" vertical="top" wrapText="1"/>
    </xf>
    <xf numFmtId="42" fontId="5" fillId="0" borderId="0" xfId="6" applyNumberFormat="1" applyFont="1" applyFill="1" applyBorder="1" applyAlignment="1">
      <alignment horizontal="center"/>
    </xf>
    <xf numFmtId="41" fontId="5" fillId="0" borderId="0" xfId="6" applyNumberFormat="1" applyFont="1" applyFill="1" applyBorder="1" applyAlignment="1">
      <alignment horizontal="left" vertical="top" wrapText="1"/>
    </xf>
    <xf numFmtId="0" fontId="65" fillId="0" borderId="10" xfId="0" applyFont="1" applyBorder="1" applyAlignment="1">
      <alignment horizontal="center"/>
    </xf>
    <xf numFmtId="0" fontId="75" fillId="0" borderId="0" xfId="0" applyFont="1" applyAlignment="1">
      <alignment horizontal="center"/>
    </xf>
    <xf numFmtId="0" fontId="67" fillId="0" borderId="0" xfId="0" applyFont="1" applyAlignment="1">
      <alignment horizontal="center"/>
    </xf>
    <xf numFmtId="0" fontId="67" fillId="0" borderId="0" xfId="0" applyFont="1" applyFill="1" applyAlignment="1">
      <alignment horizontal="center"/>
    </xf>
    <xf numFmtId="0" fontId="65" fillId="0" borderId="28" xfId="13" applyFont="1" applyBorder="1" applyAlignment="1">
      <alignment horizontal="center"/>
    </xf>
    <xf numFmtId="0" fontId="65" fillId="0" borderId="29" xfId="13" applyFont="1" applyBorder="1" applyAlignment="1">
      <alignment horizontal="center"/>
    </xf>
    <xf numFmtId="0" fontId="65" fillId="0" borderId="30" xfId="13" applyFont="1" applyBorder="1" applyAlignment="1">
      <alignment horizontal="center"/>
    </xf>
    <xf numFmtId="4" fontId="67" fillId="0" borderId="0" xfId="13" applyNumberFormat="1" applyFont="1" applyBorder="1" applyAlignment="1">
      <alignment horizontal="center"/>
    </xf>
    <xf numFmtId="4" fontId="78" fillId="0" borderId="0" xfId="13" applyNumberFormat="1" applyFont="1" applyBorder="1" applyAlignment="1">
      <alignment horizontal="center"/>
    </xf>
    <xf numFmtId="4" fontId="65" fillId="0" borderId="0" xfId="13" applyNumberFormat="1" applyFont="1" applyBorder="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4" fillId="0" borderId="0" xfId="0" applyFont="1" applyAlignment="1">
      <alignment horizontal="center"/>
    </xf>
    <xf numFmtId="0" fontId="3" fillId="0" borderId="0" xfId="0" applyFont="1" applyAlignment="1">
      <alignment horizontal="center"/>
    </xf>
    <xf numFmtId="0" fontId="9" fillId="0" borderId="0" xfId="6" applyNumberFormat="1" applyFont="1" applyFill="1" applyAlignment="1">
      <alignment horizontal="center"/>
    </xf>
    <xf numFmtId="0" fontId="9" fillId="0" borderId="0" xfId="6" applyNumberFormat="1" applyFont="1" applyAlignment="1">
      <alignment horizontal="center"/>
    </xf>
  </cellXfs>
  <cellStyles count="24">
    <cellStyle name="Comma" xfId="1" builtinId="3"/>
    <cellStyle name="Comma 2" xfId="21"/>
    <cellStyle name="Currency" xfId="2" builtinId="4"/>
    <cellStyle name="Currency 2" xfId="14"/>
    <cellStyle name="Followed Hyperlink" xfId="9" builtinId="9" customBuiltin="1"/>
    <cellStyle name="Followed Hyperlink 2" xfId="10"/>
    <cellStyle name="Hyperlink" xfId="8" builtinId="8" customBuiltin="1"/>
    <cellStyle name="Hyperlink 2" xfId="11"/>
    <cellStyle name="Manual-Input" xfId="15"/>
    <cellStyle name="Normal" xfId="0" builtinId="0"/>
    <cellStyle name="Normal 2" xfId="16"/>
    <cellStyle name="Normal 2 2" xfId="17"/>
    <cellStyle name="Normal 2 3" xfId="18"/>
    <cellStyle name="Normal 6" xfId="12"/>
    <cellStyle name="Normal_IDElec6_97" xfId="3"/>
    <cellStyle name="Normal_IDGas6_97" xfId="4"/>
    <cellStyle name="Normal_IDGas6_97 2" xfId="23"/>
    <cellStyle name="Normal_RestateDebtInt1200case 2" xfId="13"/>
    <cellStyle name="Normal_WAElec6_97" xfId="5"/>
    <cellStyle name="Normal_WAElec6_97 2" xfId="20"/>
    <cellStyle name="Normal_WAGas6_97" xfId="6"/>
    <cellStyle name="Normal_WAGas6_97 2" xfId="22"/>
    <cellStyle name="Percent" xfId="7" builtinId="5"/>
    <cellStyle name="Percent 2" xfId="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ETemp/Temporary%20Internet%20Files/Content.Outlook/EWB70DNV/2010%20WA%20GRC/Aug%204-5%20Settlement%20discussions/CaseGASsumm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ETemp/Temporary%20Internet%20Files/Content.Outlook/EWB70DNV/2010%20WA%20GRC/Aug%204-5%20Settlement%20discussions/c01m107/2005/2005%20WA%20E%20&amp;%20G%20General%20Case/CaseGASsumm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uang%20Exh%20JH-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lectric%20RR%20Model%208-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ETemp/Temporary%20Internet%20Files/Content.Outlook/EWB70DNV/2012%20WA%20Electric%20RR%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
      <sheetName val="ROO "/>
      <sheetName val="2018"/>
      <sheetName val="RR SUMMARY"/>
      <sheetName val="CF "/>
      <sheetName val="ADJ DETAIL-INPUT"/>
      <sheetName val="Recap Summary"/>
      <sheetName val="DEBT CALC"/>
      <sheetName val="LEAD SHEETS-DO NOT ENTER"/>
      <sheetName val="ADJ SUMMARY"/>
      <sheetName val="ROO INPU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ROO "/>
      <sheetName val="2018"/>
      <sheetName val="RR SUMMARY"/>
      <sheetName val="CF "/>
      <sheetName val="ADJ DETAIL-INPUT"/>
      <sheetName val="Recap Summary"/>
      <sheetName val="DEBT CALC"/>
      <sheetName val="LEAD SHEETS-DO NOT ENTER"/>
      <sheetName val="ADJ SUMMARY"/>
      <sheetName val="ROO INPU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sheetName val="RR SUMMARY"/>
      <sheetName val="CF "/>
      <sheetName val="ADJ SUMMARY"/>
      <sheetName val="ADJ DETAIL-INPUT"/>
      <sheetName val="LEAD SHEETS-DO NOT ENTER"/>
      <sheetName val="ROO INPUT"/>
      <sheetName val="DEBT CALC"/>
      <sheetName val="COMPARISON -SETTLEMENT"/>
      <sheetName val="RETAIL REVENUE CREDIT"/>
    </sheetNames>
    <sheetDataSet>
      <sheetData sheetId="0"/>
      <sheetData sheetId="1">
        <row r="10">
          <cell r="M10">
            <v>3.1800000000000002E-2</v>
          </cell>
        </row>
      </sheetData>
      <sheetData sheetId="2"/>
      <sheetData sheetId="3">
        <row r="1">
          <cell r="A1" t="str">
            <v xml:space="preserve"> </v>
          </cell>
        </row>
      </sheetData>
      <sheetData sheetId="4">
        <row r="10">
          <cell r="AA10">
            <v>2.1799999999999962</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tabSelected="1" topLeftCell="A4" zoomScale="115" zoomScaleNormal="115" zoomScaleSheetLayoutView="115" workbookViewId="0">
      <selection activeCell="B64" sqref="B64"/>
    </sheetView>
  </sheetViews>
  <sheetFormatPr defaultRowHeight="12.5"/>
  <cols>
    <col min="1" max="1" width="6" style="895" customWidth="1"/>
    <col min="2" max="2" width="3.26953125" style="895" customWidth="1"/>
    <col min="3" max="10" width="8.7265625" style="895"/>
    <col min="11" max="11" width="6.453125" style="895" customWidth="1"/>
    <col min="12" max="12" width="10.7265625" style="895" customWidth="1"/>
    <col min="13" max="16384" width="8.7265625" style="895"/>
  </cols>
  <sheetData>
    <row r="1" spans="1:12" ht="15.5">
      <c r="A1" s="900"/>
      <c r="B1" s="900"/>
      <c r="C1" s="900"/>
      <c r="D1" s="900"/>
      <c r="E1" s="900"/>
      <c r="F1" s="900"/>
      <c r="G1" s="900"/>
      <c r="H1" s="900"/>
      <c r="I1" s="900"/>
      <c r="J1" s="900"/>
      <c r="K1" s="900"/>
      <c r="L1" s="900"/>
    </row>
    <row r="2" spans="1:12" ht="15.5">
      <c r="A2" s="900"/>
      <c r="B2" s="900"/>
      <c r="C2" s="900"/>
      <c r="D2" s="900"/>
      <c r="E2" s="900"/>
      <c r="F2" s="900"/>
      <c r="G2" s="900"/>
      <c r="H2" s="900"/>
      <c r="I2" s="900"/>
      <c r="J2" s="900"/>
      <c r="K2" s="900"/>
      <c r="L2" s="900"/>
    </row>
    <row r="3" spans="1:12" ht="15.5">
      <c r="A3" s="900"/>
      <c r="B3" s="900"/>
      <c r="C3" s="900"/>
      <c r="D3" s="900"/>
      <c r="E3" s="900"/>
      <c r="F3" s="900"/>
      <c r="G3" s="900"/>
      <c r="H3" s="900"/>
      <c r="I3" s="900"/>
      <c r="J3" s="900"/>
      <c r="K3" s="900"/>
      <c r="L3" s="900"/>
    </row>
    <row r="4" spans="1:12" ht="15.5">
      <c r="A4" s="900"/>
      <c r="B4" s="900"/>
      <c r="C4" s="900"/>
      <c r="D4" s="900"/>
      <c r="E4" s="900"/>
      <c r="F4" s="900"/>
      <c r="G4" s="900"/>
      <c r="H4" s="900"/>
      <c r="I4" s="900"/>
      <c r="J4" s="900"/>
      <c r="K4" s="900"/>
      <c r="L4" s="900"/>
    </row>
    <row r="5" spans="1:12" ht="15.5">
      <c r="A5" s="900"/>
      <c r="B5" s="900"/>
      <c r="C5" s="900"/>
      <c r="D5" s="900"/>
      <c r="E5" s="900"/>
      <c r="F5" s="900"/>
      <c r="G5" s="900"/>
      <c r="H5" s="900"/>
      <c r="I5" s="900"/>
      <c r="J5" s="900"/>
      <c r="K5" s="900"/>
      <c r="L5" s="900"/>
    </row>
    <row r="6" spans="1:12" ht="15.5">
      <c r="A6" s="900"/>
      <c r="B6" s="900"/>
      <c r="C6" s="900"/>
      <c r="D6" s="900"/>
      <c r="E6" s="900"/>
      <c r="F6" s="900"/>
      <c r="G6" s="900"/>
      <c r="H6" s="900"/>
      <c r="I6" s="900"/>
      <c r="J6" s="900"/>
      <c r="K6" s="900"/>
      <c r="L6" s="900"/>
    </row>
    <row r="7" spans="1:12" ht="15.5">
      <c r="A7" s="894" t="s">
        <v>587</v>
      </c>
      <c r="B7" s="900"/>
      <c r="C7" s="900"/>
      <c r="D7" s="900"/>
      <c r="E7" s="900"/>
      <c r="F7" s="900"/>
      <c r="G7" s="900"/>
      <c r="H7" s="900"/>
      <c r="I7" s="900"/>
      <c r="J7" s="900"/>
      <c r="K7" s="900"/>
      <c r="L7" s="900"/>
    </row>
    <row r="8" spans="1:12" ht="15.5">
      <c r="A8" s="894"/>
      <c r="B8" s="900"/>
      <c r="C8" s="900"/>
      <c r="D8" s="900"/>
      <c r="E8" s="900"/>
      <c r="F8" s="900"/>
      <c r="G8" s="900"/>
      <c r="H8" s="900"/>
      <c r="I8" s="900"/>
      <c r="J8" s="900"/>
      <c r="K8" s="900"/>
      <c r="L8" s="900"/>
    </row>
    <row r="9" spans="1:12" ht="15.5" customHeight="1">
      <c r="A9" s="934" t="s">
        <v>588</v>
      </c>
      <c r="B9" s="934"/>
      <c r="C9" s="934"/>
      <c r="D9" s="934"/>
      <c r="E9" s="934"/>
      <c r="F9" s="934"/>
      <c r="G9" s="934"/>
      <c r="H9" s="934"/>
      <c r="I9" s="934"/>
      <c r="J9" s="934"/>
      <c r="K9" s="934"/>
      <c r="L9" s="934"/>
    </row>
    <row r="10" spans="1:12" ht="15.5" customHeight="1">
      <c r="A10" s="934"/>
      <c r="B10" s="934"/>
      <c r="C10" s="934"/>
      <c r="D10" s="934"/>
      <c r="E10" s="934"/>
      <c r="F10" s="934"/>
      <c r="G10" s="934"/>
      <c r="H10" s="934"/>
      <c r="I10" s="934"/>
      <c r="J10" s="934"/>
      <c r="K10" s="934"/>
      <c r="L10" s="934"/>
    </row>
    <row r="11" spans="1:12" ht="15.5" customHeight="1">
      <c r="A11" s="934"/>
      <c r="B11" s="934"/>
      <c r="C11" s="934"/>
      <c r="D11" s="934"/>
      <c r="E11" s="934"/>
      <c r="F11" s="934"/>
      <c r="G11" s="934"/>
      <c r="H11" s="934"/>
      <c r="I11" s="934"/>
      <c r="J11" s="934"/>
      <c r="K11" s="934"/>
      <c r="L11" s="934"/>
    </row>
    <row r="12" spans="1:12" ht="15.5" customHeight="1">
      <c r="A12" s="934"/>
      <c r="B12" s="934"/>
      <c r="C12" s="934"/>
      <c r="D12" s="934"/>
      <c r="E12" s="934"/>
      <c r="F12" s="934"/>
      <c r="G12" s="934"/>
      <c r="H12" s="934"/>
      <c r="I12" s="934"/>
      <c r="J12" s="934"/>
      <c r="K12" s="934"/>
      <c r="L12" s="934"/>
    </row>
    <row r="13" spans="1:12" ht="15.5" customHeight="1">
      <c r="A13" s="934"/>
      <c r="B13" s="934"/>
      <c r="C13" s="934"/>
      <c r="D13" s="934"/>
      <c r="E13" s="934"/>
      <c r="F13" s="934"/>
      <c r="G13" s="934"/>
      <c r="H13" s="934"/>
      <c r="I13" s="934"/>
      <c r="J13" s="934"/>
      <c r="K13" s="934"/>
      <c r="L13" s="934"/>
    </row>
    <row r="14" spans="1:12" ht="15.5" customHeight="1">
      <c r="A14" s="934"/>
      <c r="B14" s="934"/>
      <c r="C14" s="934"/>
      <c r="D14" s="934"/>
      <c r="E14" s="934"/>
      <c r="F14" s="934"/>
      <c r="G14" s="934"/>
      <c r="H14" s="934"/>
      <c r="I14" s="934"/>
      <c r="J14" s="934"/>
      <c r="K14" s="934"/>
      <c r="L14" s="934"/>
    </row>
    <row r="15" spans="1:12" ht="15.5">
      <c r="A15" s="896"/>
      <c r="B15" s="900"/>
      <c r="C15" s="900"/>
      <c r="D15" s="900"/>
      <c r="E15" s="900"/>
      <c r="F15" s="900"/>
      <c r="G15" s="900"/>
      <c r="H15" s="900"/>
      <c r="I15" s="900"/>
      <c r="J15" s="900"/>
      <c r="K15" s="900"/>
      <c r="L15" s="900"/>
    </row>
    <row r="16" spans="1:12" ht="15.5">
      <c r="A16" s="896" t="s">
        <v>589</v>
      </c>
      <c r="B16" s="900"/>
      <c r="C16" s="900"/>
      <c r="D16" s="900"/>
      <c r="E16" s="900"/>
      <c r="F16" s="900"/>
      <c r="G16" s="900"/>
      <c r="H16" s="900"/>
      <c r="I16" s="900"/>
      <c r="J16" s="900"/>
      <c r="K16" s="900"/>
      <c r="L16" s="900"/>
    </row>
    <row r="17" spans="1:12" ht="15.5">
      <c r="A17" s="900"/>
      <c r="B17" s="900"/>
      <c r="C17" s="900"/>
      <c r="D17" s="900"/>
      <c r="E17" s="900"/>
      <c r="F17" s="900"/>
      <c r="G17" s="900"/>
      <c r="H17" s="900"/>
      <c r="I17" s="900"/>
      <c r="J17" s="900"/>
      <c r="K17" s="900"/>
      <c r="L17" s="900"/>
    </row>
    <row r="18" spans="1:12" ht="15.5" customHeight="1">
      <c r="A18" s="900"/>
      <c r="B18" s="901" t="s">
        <v>590</v>
      </c>
      <c r="C18" s="934" t="s">
        <v>595</v>
      </c>
      <c r="D18" s="934"/>
      <c r="E18" s="934"/>
      <c r="F18" s="934"/>
      <c r="G18" s="934"/>
      <c r="H18" s="934"/>
      <c r="I18" s="934"/>
      <c r="J18" s="934"/>
      <c r="K18" s="934"/>
      <c r="L18" s="934"/>
    </row>
    <row r="19" spans="1:12" ht="15.5">
      <c r="A19" s="900"/>
      <c r="B19" s="900"/>
      <c r="C19" s="934"/>
      <c r="D19" s="934"/>
      <c r="E19" s="934"/>
      <c r="F19" s="934"/>
      <c r="G19" s="934"/>
      <c r="H19" s="934"/>
      <c r="I19" s="934"/>
      <c r="J19" s="934"/>
      <c r="K19" s="934"/>
      <c r="L19" s="934"/>
    </row>
    <row r="20" spans="1:12" ht="15.5">
      <c r="A20" s="900"/>
      <c r="B20" s="900"/>
      <c r="C20" s="934"/>
      <c r="D20" s="934"/>
      <c r="E20" s="934"/>
      <c r="F20" s="934"/>
      <c r="G20" s="934"/>
      <c r="H20" s="934"/>
      <c r="I20" s="934"/>
      <c r="J20" s="934"/>
      <c r="K20" s="934"/>
      <c r="L20" s="934"/>
    </row>
    <row r="21" spans="1:12" ht="15.5">
      <c r="A21" s="900"/>
      <c r="B21" s="900"/>
      <c r="C21" s="934"/>
      <c r="D21" s="934"/>
      <c r="E21" s="934"/>
      <c r="F21" s="934"/>
      <c r="G21" s="934"/>
      <c r="H21" s="934"/>
      <c r="I21" s="934"/>
      <c r="J21" s="934"/>
      <c r="K21" s="934"/>
      <c r="L21" s="934"/>
    </row>
    <row r="22" spans="1:12" ht="15.5">
      <c r="A22" s="900"/>
      <c r="B22" s="900"/>
      <c r="C22" s="902"/>
      <c r="D22" s="902"/>
      <c r="E22" s="902"/>
      <c r="F22" s="902"/>
      <c r="G22" s="902"/>
      <c r="H22" s="902"/>
      <c r="I22" s="902"/>
      <c r="J22" s="902"/>
      <c r="K22" s="902"/>
      <c r="L22" s="902"/>
    </row>
    <row r="23" spans="1:12" ht="15.5">
      <c r="A23" s="900"/>
      <c r="B23" s="901" t="s">
        <v>591</v>
      </c>
      <c r="C23" s="935" t="s">
        <v>592</v>
      </c>
      <c r="D23" s="935"/>
      <c r="E23" s="935"/>
      <c r="F23" s="935"/>
      <c r="G23" s="935"/>
      <c r="H23" s="935"/>
      <c r="I23" s="935"/>
      <c r="J23" s="935"/>
      <c r="K23" s="935"/>
      <c r="L23" s="935"/>
    </row>
    <row r="24" spans="1:12" ht="15.5">
      <c r="A24" s="900"/>
      <c r="B24" s="900"/>
      <c r="C24" s="935"/>
      <c r="D24" s="935"/>
      <c r="E24" s="935"/>
      <c r="F24" s="935"/>
      <c r="G24" s="935"/>
      <c r="H24" s="935"/>
      <c r="I24" s="935"/>
      <c r="J24" s="935"/>
      <c r="K24" s="935"/>
      <c r="L24" s="935"/>
    </row>
    <row r="25" spans="1:12" ht="15.5">
      <c r="A25" s="900"/>
      <c r="B25" s="900"/>
      <c r="C25" s="935"/>
      <c r="D25" s="935"/>
      <c r="E25" s="935"/>
      <c r="F25" s="935"/>
      <c r="G25" s="935"/>
      <c r="H25" s="935"/>
      <c r="I25" s="935"/>
      <c r="J25" s="935"/>
      <c r="K25" s="935"/>
      <c r="L25" s="935"/>
    </row>
    <row r="26" spans="1:12" ht="15.5">
      <c r="A26" s="900"/>
      <c r="B26" s="900"/>
      <c r="C26" s="935"/>
      <c r="D26" s="935"/>
      <c r="E26" s="935"/>
      <c r="F26" s="935"/>
      <c r="G26" s="935"/>
      <c r="H26" s="935"/>
      <c r="I26" s="935"/>
      <c r="J26" s="935"/>
      <c r="K26" s="935"/>
      <c r="L26" s="935"/>
    </row>
    <row r="27" spans="1:12" ht="15.5">
      <c r="A27" s="900"/>
      <c r="B27" s="900"/>
      <c r="C27" s="935"/>
      <c r="D27" s="935"/>
      <c r="E27" s="935"/>
      <c r="F27" s="935"/>
      <c r="G27" s="935"/>
      <c r="H27" s="935"/>
      <c r="I27" s="935"/>
      <c r="J27" s="935"/>
      <c r="K27" s="935"/>
      <c r="L27" s="935"/>
    </row>
    <row r="28" spans="1:12" ht="15.5">
      <c r="A28" s="900"/>
      <c r="B28" s="900"/>
      <c r="C28" s="935"/>
      <c r="D28" s="935"/>
      <c r="E28" s="935"/>
      <c r="F28" s="935"/>
      <c r="G28" s="935"/>
      <c r="H28" s="935"/>
      <c r="I28" s="935"/>
      <c r="J28" s="935"/>
      <c r="K28" s="935"/>
      <c r="L28" s="935"/>
    </row>
    <row r="29" spans="1:12" ht="15.5">
      <c r="A29" s="900"/>
      <c r="B29" s="900"/>
      <c r="C29" s="935"/>
      <c r="D29" s="935"/>
      <c r="E29" s="935"/>
      <c r="F29" s="935"/>
      <c r="G29" s="935"/>
      <c r="H29" s="935"/>
      <c r="I29" s="935"/>
      <c r="J29" s="935"/>
      <c r="K29" s="935"/>
      <c r="L29" s="935"/>
    </row>
    <row r="30" spans="1:12" ht="15.5">
      <c r="A30" s="900"/>
      <c r="B30" s="900"/>
      <c r="C30" s="935"/>
      <c r="D30" s="935"/>
      <c r="E30" s="935"/>
      <c r="F30" s="935"/>
      <c r="G30" s="935"/>
      <c r="H30" s="935"/>
      <c r="I30" s="935"/>
      <c r="J30" s="935"/>
      <c r="K30" s="935"/>
      <c r="L30" s="935"/>
    </row>
    <row r="31" spans="1:12" ht="15.5">
      <c r="A31" s="900"/>
      <c r="B31" s="900"/>
      <c r="C31" s="900"/>
      <c r="D31" s="900"/>
      <c r="E31" s="900"/>
      <c r="F31" s="900"/>
      <c r="G31" s="900"/>
      <c r="H31" s="900"/>
      <c r="I31" s="900"/>
      <c r="J31" s="900"/>
      <c r="K31" s="900"/>
      <c r="L31" s="900"/>
    </row>
    <row r="32" spans="1:12" ht="15.5">
      <c r="A32" s="900"/>
      <c r="B32" s="901" t="s">
        <v>593</v>
      </c>
      <c r="C32" s="935" t="s">
        <v>594</v>
      </c>
      <c r="D32" s="935"/>
      <c r="E32" s="935"/>
      <c r="F32" s="935"/>
      <c r="G32" s="935"/>
      <c r="H32" s="935"/>
      <c r="I32" s="935"/>
      <c r="J32" s="935"/>
      <c r="K32" s="935"/>
      <c r="L32" s="935"/>
    </row>
    <row r="33" spans="1:12" ht="15.5">
      <c r="A33" s="900"/>
      <c r="B33" s="900"/>
      <c r="C33" s="935"/>
      <c r="D33" s="935"/>
      <c r="E33" s="935"/>
      <c r="F33" s="935"/>
      <c r="G33" s="935"/>
      <c r="H33" s="935"/>
      <c r="I33" s="935"/>
      <c r="J33" s="935"/>
      <c r="K33" s="935"/>
      <c r="L33" s="935"/>
    </row>
    <row r="34" spans="1:12" ht="15.5">
      <c r="A34" s="897" t="s">
        <v>596</v>
      </c>
      <c r="B34" s="900"/>
      <c r="C34" s="935"/>
      <c r="D34" s="935"/>
      <c r="E34" s="935"/>
      <c r="F34" s="935"/>
      <c r="G34" s="935"/>
      <c r="H34" s="935"/>
      <c r="I34" s="935"/>
      <c r="J34" s="935"/>
      <c r="K34" s="935"/>
      <c r="L34" s="935"/>
    </row>
    <row r="35" spans="1:12" ht="15.5">
      <c r="A35" s="900"/>
      <c r="B35" s="900"/>
      <c r="C35" s="900"/>
      <c r="D35" s="900"/>
      <c r="E35" s="900"/>
      <c r="F35" s="900"/>
      <c r="G35" s="900"/>
      <c r="H35" s="900"/>
      <c r="I35" s="900"/>
      <c r="J35" s="900"/>
      <c r="K35" s="900"/>
      <c r="L35" s="900"/>
    </row>
    <row r="36" spans="1:12" ht="13">
      <c r="A36" s="897"/>
      <c r="B36" s="897"/>
      <c r="C36" s="897"/>
      <c r="D36" s="897"/>
      <c r="E36" s="897"/>
      <c r="F36" s="897"/>
      <c r="G36" s="897"/>
      <c r="H36" s="897"/>
      <c r="I36" s="897"/>
      <c r="J36" s="897"/>
      <c r="K36" s="897"/>
      <c r="L36" s="897"/>
    </row>
    <row r="37" spans="1:12" ht="13">
      <c r="A37" s="897"/>
      <c r="B37" s="897"/>
      <c r="C37" s="897"/>
      <c r="D37" s="897"/>
      <c r="E37" s="897"/>
      <c r="F37" s="897"/>
      <c r="G37" s="897"/>
      <c r="H37" s="897"/>
      <c r="I37" s="897"/>
      <c r="J37" s="897"/>
      <c r="K37" s="897"/>
      <c r="L37" s="897"/>
    </row>
    <row r="64" spans="1:1" ht="13">
      <c r="A64" s="897" t="s">
        <v>596</v>
      </c>
    </row>
    <row r="83" spans="1:1" ht="13">
      <c r="A83" s="897" t="s">
        <v>596</v>
      </c>
    </row>
  </sheetData>
  <mergeCells count="4">
    <mergeCell ref="A9:L14"/>
    <mergeCell ref="C18:L21"/>
    <mergeCell ref="C23:L30"/>
    <mergeCell ref="C32:L34"/>
  </mergeCells>
  <pageMargins left="0.7" right="0.7" top="0.75" bottom="0.75" header="0.3" footer="0.3"/>
  <pageSetup scale="88" orientation="portrait" r:id="rId1"/>
  <headerFooter>
    <oddHeader xml:space="preserve">&amp;RExhibit No. JH-3
Dockets UE-160228/UG-160229
Page &amp;P of &amp;N
Revised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EJ85"/>
  <sheetViews>
    <sheetView tabSelected="1" topLeftCell="F60" zoomScale="115" zoomScaleNormal="115" zoomScaleSheetLayoutView="100" workbookViewId="0">
      <selection activeCell="B64" sqref="B64"/>
    </sheetView>
  </sheetViews>
  <sheetFormatPr defaultColWidth="9.1796875" defaultRowHeight="13"/>
  <cols>
    <col min="1" max="1" width="4.7265625" style="71" customWidth="1"/>
    <col min="2" max="3" width="1.7265625" style="69" customWidth="1"/>
    <col min="4" max="4" width="2.7265625" style="69" customWidth="1"/>
    <col min="5" max="5" width="24.1796875" style="39" customWidth="1"/>
    <col min="6" max="6" width="18.81640625" style="39" customWidth="1"/>
    <col min="7" max="7" width="15.54296875" style="39" customWidth="1"/>
    <col min="8" max="8" width="18.26953125" style="39" customWidth="1"/>
    <col min="9" max="9" width="19.81640625" style="39" customWidth="1"/>
    <col min="10" max="10" width="25.1796875" style="36" customWidth="1"/>
    <col min="11" max="11" width="2.7265625" style="36" customWidth="1"/>
    <col min="12" max="12" width="9" style="36" customWidth="1"/>
    <col min="13" max="13" width="9.1796875" style="36"/>
    <col min="14" max="14" width="9.81640625" style="36" bestFit="1" customWidth="1"/>
    <col min="15" max="16" width="9.1796875" style="36"/>
    <col min="17" max="17" width="11.1796875" style="36" bestFit="1" customWidth="1"/>
    <col min="18" max="30" width="9.1796875" style="36"/>
    <col min="31" max="31" width="14.7265625" style="440" customWidth="1"/>
    <col min="32" max="32" width="13" style="440" customWidth="1"/>
    <col min="33" max="35" width="9.1796875" style="440"/>
    <col min="36" max="36" width="9.1796875" style="636"/>
    <col min="37" max="140" width="9.1796875" style="440"/>
    <col min="141" max="16384" width="9.1796875" style="36"/>
  </cols>
  <sheetData>
    <row r="1" spans="1:47">
      <c r="E1" s="150"/>
      <c r="F1" s="150"/>
      <c r="G1" s="150"/>
      <c r="H1" s="150"/>
      <c r="I1" s="150"/>
      <c r="J1" s="492"/>
      <c r="K1" s="492"/>
      <c r="L1" s="492"/>
    </row>
    <row r="2" spans="1:47">
      <c r="A2" s="754" t="str">
        <f>'ROO INPUT'!A3:C3</f>
        <v>AVISTA UTILITIES</v>
      </c>
      <c r="D2" s="71"/>
      <c r="E2" s="150"/>
      <c r="F2" s="150"/>
      <c r="G2" s="150"/>
      <c r="H2" s="150"/>
      <c r="I2" s="150"/>
      <c r="J2" s="492"/>
      <c r="K2" s="492"/>
      <c r="L2" s="492"/>
    </row>
    <row r="3" spans="1:47" ht="13.9" customHeight="1">
      <c r="A3" s="754" t="str">
        <f>'ADJ DETAIL INPUT'!A2</f>
        <v xml:space="preserve">WASHINGTON NATURAL GAS - ATTRITION ADJUSTED PRO FORMA STUDY </v>
      </c>
      <c r="D3" s="71"/>
      <c r="E3" s="150"/>
      <c r="F3" s="150"/>
      <c r="G3" s="124"/>
      <c r="H3" s="125"/>
      <c r="I3" s="125"/>
      <c r="J3" s="496"/>
      <c r="K3" s="496"/>
      <c r="L3" s="496"/>
      <c r="M3" s="120"/>
      <c r="N3" s="120"/>
    </row>
    <row r="4" spans="1:47">
      <c r="A4" s="754" t="s">
        <v>487</v>
      </c>
      <c r="D4" s="71"/>
      <c r="E4" s="150"/>
      <c r="F4" s="150"/>
      <c r="G4" s="150"/>
      <c r="H4" s="150"/>
      <c r="I4" s="150"/>
      <c r="J4" s="492"/>
      <c r="K4" s="492"/>
      <c r="L4" s="492"/>
    </row>
    <row r="5" spans="1:47">
      <c r="A5" s="754" t="str">
        <f>'ROO INPUT'!A6:C6</f>
        <v xml:space="preserve">(000'S OF DOLLARS)   </v>
      </c>
      <c r="D5" s="71"/>
      <c r="E5" s="150"/>
      <c r="F5" s="150"/>
      <c r="G5" s="150"/>
      <c r="H5" s="150"/>
      <c r="I5" s="150"/>
      <c r="J5" s="492"/>
      <c r="K5" s="492"/>
      <c r="L5" s="492"/>
    </row>
    <row r="6" spans="1:47" ht="14">
      <c r="E6" s="150"/>
      <c r="F6" s="936" t="s">
        <v>575</v>
      </c>
      <c r="G6" s="937"/>
      <c r="H6" s="937"/>
      <c r="I6" s="937"/>
      <c r="J6" s="938"/>
      <c r="K6" s="492"/>
      <c r="L6" s="492"/>
      <c r="AD6" s="120"/>
      <c r="AE6" s="446"/>
      <c r="AF6" s="446"/>
      <c r="AG6" s="446"/>
      <c r="AH6" s="446"/>
      <c r="AI6" s="446"/>
      <c r="AJ6" s="598"/>
      <c r="AK6" s="446"/>
      <c r="AL6" s="888"/>
      <c r="AM6" s="888"/>
      <c r="AN6" s="888"/>
      <c r="AO6" s="888"/>
      <c r="AP6" s="888"/>
      <c r="AQ6" s="888"/>
      <c r="AR6" s="888"/>
      <c r="AS6" s="888"/>
      <c r="AT6" s="888"/>
    </row>
    <row r="7" spans="1:47">
      <c r="A7" s="72"/>
      <c r="B7" s="72"/>
      <c r="C7" s="73"/>
      <c r="D7" s="73"/>
      <c r="E7" s="72"/>
      <c r="F7" s="74" t="s">
        <v>148</v>
      </c>
      <c r="G7" s="75"/>
      <c r="H7" s="76"/>
      <c r="I7" s="76" t="s">
        <v>576</v>
      </c>
      <c r="J7" s="76"/>
      <c r="K7" s="492"/>
      <c r="L7" s="492"/>
      <c r="P7" s="120"/>
      <c r="Y7" s="120"/>
      <c r="Z7" s="120"/>
      <c r="AD7" s="120"/>
      <c r="AE7" s="446"/>
      <c r="AF7" s="446"/>
      <c r="AG7" s="446"/>
      <c r="AH7" s="446"/>
      <c r="AI7" s="446"/>
      <c r="AJ7" s="598"/>
      <c r="AK7" s="446"/>
      <c r="AL7" s="446"/>
      <c r="AM7" s="446"/>
      <c r="AN7" s="446"/>
      <c r="AO7" s="446"/>
      <c r="AP7" s="446"/>
      <c r="AQ7" s="446"/>
      <c r="AR7" s="446"/>
    </row>
    <row r="8" spans="1:47">
      <c r="A8" s="77"/>
      <c r="B8" s="78"/>
      <c r="C8" s="79"/>
      <c r="D8" s="80"/>
      <c r="E8" s="81"/>
      <c r="F8" s="41" t="s">
        <v>149</v>
      </c>
      <c r="G8" s="41"/>
      <c r="H8" s="588" t="s">
        <v>575</v>
      </c>
      <c r="I8" s="41" t="s">
        <v>150</v>
      </c>
      <c r="J8" s="588" t="s">
        <v>575</v>
      </c>
      <c r="K8" s="492"/>
      <c r="L8" s="492"/>
    </row>
    <row r="9" spans="1:47">
      <c r="A9" s="82" t="s">
        <v>7</v>
      </c>
      <c r="B9" s="83"/>
      <c r="C9" s="84"/>
      <c r="D9" s="85"/>
      <c r="E9" s="86"/>
      <c r="F9" s="43" t="s">
        <v>8</v>
      </c>
      <c r="G9" s="43" t="s">
        <v>27</v>
      </c>
      <c r="H9" s="43" t="s">
        <v>466</v>
      </c>
      <c r="I9" s="43" t="s">
        <v>151</v>
      </c>
      <c r="J9" s="43" t="s">
        <v>150</v>
      </c>
      <c r="K9" s="492"/>
      <c r="L9" s="492"/>
    </row>
    <row r="10" spans="1:47">
      <c r="A10" s="87" t="s">
        <v>17</v>
      </c>
      <c r="B10" s="88"/>
      <c r="C10" s="89"/>
      <c r="D10" s="90"/>
      <c r="E10" s="91" t="s">
        <v>18</v>
      </c>
      <c r="F10" s="45" t="s">
        <v>19</v>
      </c>
      <c r="G10" s="45" t="s">
        <v>119</v>
      </c>
      <c r="H10" s="45" t="s">
        <v>544</v>
      </c>
      <c r="I10" s="45" t="s">
        <v>152</v>
      </c>
      <c r="J10" s="45" t="s">
        <v>27</v>
      </c>
      <c r="K10" s="492"/>
      <c r="L10" s="492"/>
      <c r="AJ10" s="646"/>
    </row>
    <row r="11" spans="1:47">
      <c r="A11" s="92"/>
      <c r="B11" s="92"/>
      <c r="C11" s="93"/>
      <c r="D11" s="93"/>
      <c r="E11" s="93" t="s">
        <v>28</v>
      </c>
      <c r="F11" s="46" t="s">
        <v>29</v>
      </c>
      <c r="G11" s="46" t="s">
        <v>30</v>
      </c>
      <c r="H11" s="46" t="s">
        <v>31</v>
      </c>
      <c r="I11" s="46" t="s">
        <v>32</v>
      </c>
      <c r="J11" s="46" t="s">
        <v>33</v>
      </c>
      <c r="K11" s="492"/>
      <c r="L11" s="492"/>
    </row>
    <row r="12" spans="1:47" ht="3.75" customHeight="1">
      <c r="A12" s="92"/>
      <c r="B12" s="92"/>
      <c r="C12" s="93"/>
      <c r="D12" s="93"/>
      <c r="E12" s="93"/>
      <c r="F12" s="46"/>
      <c r="G12" s="46"/>
      <c r="H12" s="46"/>
      <c r="I12" s="46"/>
      <c r="J12" s="46"/>
      <c r="K12" s="492"/>
      <c r="L12" s="492"/>
    </row>
    <row r="13" spans="1:47" ht="2.25" customHeight="1">
      <c r="A13" s="92"/>
      <c r="B13" s="92"/>
      <c r="C13" s="93"/>
      <c r="D13" s="93"/>
      <c r="E13" s="93"/>
      <c r="F13" s="46"/>
      <c r="G13" s="46"/>
      <c r="H13" s="46"/>
      <c r="I13" s="46"/>
      <c r="J13" s="46"/>
      <c r="K13" s="492"/>
      <c r="L13" s="492"/>
    </row>
    <row r="14" spans="1:47">
      <c r="A14" s="154"/>
      <c r="B14" s="1" t="s">
        <v>34</v>
      </c>
      <c r="C14" s="1"/>
      <c r="D14" s="1"/>
      <c r="E14" s="1"/>
      <c r="F14" s="65"/>
      <c r="G14" s="65"/>
      <c r="H14" s="150"/>
      <c r="I14" s="150"/>
      <c r="J14" s="150"/>
      <c r="K14" s="492"/>
      <c r="L14" s="492"/>
      <c r="AU14" s="446"/>
    </row>
    <row r="15" spans="1:47">
      <c r="A15" s="154">
        <v>1</v>
      </c>
      <c r="B15" s="3"/>
      <c r="C15" s="3" t="s">
        <v>35</v>
      </c>
      <c r="D15" s="3"/>
      <c r="E15" s="3"/>
      <c r="F15" s="66">
        <f>'ADJ DETAIL INPUT'!E14</f>
        <v>152492</v>
      </c>
      <c r="G15" s="66">
        <f>H15-F15</f>
        <v>-66556.974806438244</v>
      </c>
      <c r="H15" s="66">
        <f>'ADJ DETAIL INPUT'!AV14</f>
        <v>85935.025193561756</v>
      </c>
      <c r="I15" s="923">
        <f>CF!J12</f>
        <v>2143</v>
      </c>
      <c r="J15" s="923">
        <f>H15+I15</f>
        <v>88078.025193561756</v>
      </c>
      <c r="K15" s="492"/>
      <c r="L15" s="492"/>
      <c r="AU15" s="446"/>
    </row>
    <row r="16" spans="1:47">
      <c r="A16" s="154">
        <v>2</v>
      </c>
      <c r="B16" s="1"/>
      <c r="C16" s="4" t="s">
        <v>36</v>
      </c>
      <c r="D16" s="4"/>
      <c r="E16" s="4"/>
      <c r="F16" s="281">
        <f>'ADJ DETAIL INPUT'!E15</f>
        <v>4114</v>
      </c>
      <c r="G16" s="281">
        <f>H16-F16</f>
        <v>303.13915534638727</v>
      </c>
      <c r="H16" s="66">
        <f>'ADJ DETAIL INPUT'!AV15</f>
        <v>4417.1391553463873</v>
      </c>
      <c r="I16" s="281"/>
      <c r="J16" s="281">
        <f>H16+I16</f>
        <v>4417.1391553463873</v>
      </c>
      <c r="K16" s="492"/>
      <c r="L16" s="492"/>
      <c r="AU16" s="446"/>
    </row>
    <row r="17" spans="1:47">
      <c r="A17" s="154">
        <v>3</v>
      </c>
      <c r="B17" s="1"/>
      <c r="C17" s="4" t="s">
        <v>37</v>
      </c>
      <c r="D17" s="4"/>
      <c r="E17" s="787"/>
      <c r="F17" s="283">
        <f>'ADJ DETAIL INPUT'!E16</f>
        <v>105088</v>
      </c>
      <c r="G17" s="283">
        <f>H17-F17</f>
        <v>-104822.58333333333</v>
      </c>
      <c r="H17" s="455">
        <f>'ADJ DETAIL INPUT'!AV16</f>
        <v>265.41666666666663</v>
      </c>
      <c r="I17" s="283"/>
      <c r="J17" s="283">
        <f>H17+I17</f>
        <v>265.41666666666663</v>
      </c>
      <c r="K17" s="492"/>
      <c r="L17" s="492"/>
      <c r="AU17" s="446"/>
    </row>
    <row r="18" spans="1:47">
      <c r="A18" s="154">
        <v>4</v>
      </c>
      <c r="B18" s="1" t="s">
        <v>38</v>
      </c>
      <c r="C18" s="4"/>
      <c r="D18" s="4"/>
      <c r="E18" s="4"/>
      <c r="F18" s="281">
        <f>SUM(F15:F17)</f>
        <v>261694</v>
      </c>
      <c r="G18" s="281">
        <f t="shared" ref="G18:J18" si="0">SUM(G15:G17)</f>
        <v>-171076.4189844252</v>
      </c>
      <c r="H18" s="281">
        <f t="shared" si="0"/>
        <v>90617.581015574819</v>
      </c>
      <c r="I18" s="918">
        <f t="shared" si="0"/>
        <v>2143</v>
      </c>
      <c r="J18" s="918">
        <f t="shared" si="0"/>
        <v>92760.581015574819</v>
      </c>
      <c r="K18" s="492"/>
      <c r="L18" s="492"/>
      <c r="AU18" s="446"/>
    </row>
    <row r="19" spans="1:47" ht="4.5" customHeight="1">
      <c r="A19" s="154"/>
      <c r="B19" s="1"/>
      <c r="C19" s="4"/>
      <c r="D19" s="4"/>
      <c r="E19" s="4"/>
      <c r="F19" s="281"/>
      <c r="G19" s="281"/>
      <c r="H19" s="281"/>
      <c r="I19" s="281"/>
      <c r="J19" s="281"/>
      <c r="K19" s="492"/>
      <c r="L19" s="492"/>
      <c r="AU19" s="446"/>
    </row>
    <row r="20" spans="1:47">
      <c r="A20" s="154"/>
      <c r="B20" s="1" t="s">
        <v>39</v>
      </c>
      <c r="C20" s="4"/>
      <c r="D20" s="4"/>
      <c r="E20" s="4"/>
      <c r="F20" s="281"/>
      <c r="G20" s="281"/>
      <c r="H20" s="281"/>
      <c r="I20" s="281"/>
      <c r="J20" s="281"/>
      <c r="K20" s="492"/>
      <c r="L20" s="492"/>
      <c r="AU20" s="446"/>
    </row>
    <row r="21" spans="1:47">
      <c r="A21" s="154"/>
      <c r="B21" s="1"/>
      <c r="C21" s="4" t="s">
        <v>249</v>
      </c>
      <c r="D21" s="4"/>
      <c r="E21" s="4"/>
      <c r="F21" s="281"/>
      <c r="G21" s="281"/>
      <c r="H21" s="281"/>
      <c r="I21" s="281"/>
      <c r="J21" s="281"/>
      <c r="K21" s="492"/>
      <c r="L21" s="492"/>
      <c r="AU21" s="446"/>
    </row>
    <row r="22" spans="1:47">
      <c r="A22" s="154">
        <v>5</v>
      </c>
      <c r="B22" s="1"/>
      <c r="C22" s="4"/>
      <c r="D22" s="4" t="s">
        <v>40</v>
      </c>
      <c r="E22" s="4"/>
      <c r="F22" s="281">
        <f>'ADJ DETAIL INPUT'!E21</f>
        <v>164944</v>
      </c>
      <c r="G22" s="281">
        <f>H22-F22</f>
        <v>-164944</v>
      </c>
      <c r="H22" s="282">
        <f>'ADJ DETAIL INPUT'!AV21</f>
        <v>0</v>
      </c>
      <c r="I22" s="281"/>
      <c r="J22" s="281">
        <f>H22+I22</f>
        <v>0</v>
      </c>
      <c r="K22" s="492"/>
      <c r="L22" s="492"/>
      <c r="AU22" s="446"/>
    </row>
    <row r="23" spans="1:47">
      <c r="A23" s="154">
        <v>6</v>
      </c>
      <c r="B23" s="1"/>
      <c r="C23" s="4"/>
      <c r="D23" s="4" t="s">
        <v>41</v>
      </c>
      <c r="E23" s="4"/>
      <c r="F23" s="281">
        <f>'ADJ DETAIL INPUT'!E22</f>
        <v>810</v>
      </c>
      <c r="G23" s="281">
        <f>H23-F23</f>
        <v>96.459960175852302</v>
      </c>
      <c r="H23" s="282">
        <f>'ADJ DETAIL INPUT'!AV22</f>
        <v>906.4599601758523</v>
      </c>
      <c r="I23" s="281"/>
      <c r="J23" s="281">
        <f>H23+I23</f>
        <v>906.4599601758523</v>
      </c>
      <c r="K23" s="492"/>
      <c r="L23" s="492"/>
      <c r="AU23" s="446"/>
    </row>
    <row r="24" spans="1:47">
      <c r="A24" s="154">
        <v>7</v>
      </c>
      <c r="B24" s="1"/>
      <c r="C24" s="4"/>
      <c r="D24" s="4" t="s">
        <v>42</v>
      </c>
      <c r="E24" s="4"/>
      <c r="F24" s="283">
        <f>'ADJ DETAIL INPUT'!E23</f>
        <v>8665</v>
      </c>
      <c r="G24" s="283">
        <f>H24-F24</f>
        <v>-8665</v>
      </c>
      <c r="H24" s="284">
        <f>'ADJ DETAIL INPUT'!AV23</f>
        <v>0</v>
      </c>
      <c r="I24" s="283"/>
      <c r="J24" s="283">
        <f>H24+I24</f>
        <v>0</v>
      </c>
      <c r="K24" s="492"/>
      <c r="L24" s="492"/>
      <c r="AU24" s="446"/>
    </row>
    <row r="25" spans="1:47">
      <c r="A25" s="154">
        <v>8</v>
      </c>
      <c r="B25" s="1"/>
      <c r="C25" s="4"/>
      <c r="D25" s="4"/>
      <c r="E25" s="4" t="s">
        <v>43</v>
      </c>
      <c r="F25" s="281">
        <f>SUM(F22:F24)</f>
        <v>174419</v>
      </c>
      <c r="G25" s="281">
        <f t="shared" ref="G25:J25" si="1">SUM(G22:G24)</f>
        <v>-173512.54003982415</v>
      </c>
      <c r="H25" s="281">
        <f t="shared" si="1"/>
        <v>906.4599601758523</v>
      </c>
      <c r="I25" s="281">
        <f t="shared" si="1"/>
        <v>0</v>
      </c>
      <c r="J25" s="281">
        <f t="shared" si="1"/>
        <v>906.4599601758523</v>
      </c>
      <c r="K25" s="492"/>
      <c r="L25" s="492"/>
      <c r="AU25" s="446"/>
    </row>
    <row r="26" spans="1:47" ht="5.25" customHeight="1">
      <c r="A26" s="154"/>
      <c r="B26" s="1"/>
      <c r="C26" s="4"/>
      <c r="D26" s="4"/>
      <c r="E26" s="4"/>
      <c r="F26" s="281"/>
      <c r="G26" s="281"/>
      <c r="H26" s="282"/>
      <c r="I26" s="281"/>
      <c r="J26" s="281"/>
      <c r="K26" s="492"/>
      <c r="L26" s="492"/>
      <c r="AU26" s="446"/>
    </row>
    <row r="27" spans="1:47">
      <c r="A27" s="154"/>
      <c r="B27" s="1"/>
      <c r="C27" s="4" t="s">
        <v>44</v>
      </c>
      <c r="D27" s="4"/>
      <c r="E27" s="4"/>
      <c r="F27" s="281"/>
      <c r="G27" s="281"/>
      <c r="H27" s="281"/>
      <c r="I27" s="281"/>
      <c r="J27" s="281"/>
      <c r="K27" s="492"/>
      <c r="L27" s="492"/>
      <c r="AU27" s="446"/>
    </row>
    <row r="28" spans="1:47">
      <c r="A28" s="154">
        <v>9</v>
      </c>
      <c r="B28" s="1"/>
      <c r="C28" s="4"/>
      <c r="D28" s="4" t="s">
        <v>45</v>
      </c>
      <c r="E28" s="4"/>
      <c r="F28" s="281">
        <f>'ADJ DETAIL INPUT'!E27</f>
        <v>833</v>
      </c>
      <c r="G28" s="281">
        <f>H28-F28</f>
        <v>90.705333972301332</v>
      </c>
      <c r="H28" s="282">
        <f>'ADJ DETAIL INPUT'!AV27</f>
        <v>923.70533397230133</v>
      </c>
      <c r="I28" s="281"/>
      <c r="J28" s="281">
        <f>H28+I28</f>
        <v>923.70533397230133</v>
      </c>
      <c r="K28" s="492"/>
      <c r="L28" s="492"/>
      <c r="AU28" s="446"/>
    </row>
    <row r="29" spans="1:47">
      <c r="A29" s="154">
        <v>10</v>
      </c>
      <c r="B29" s="1"/>
      <c r="C29" s="4"/>
      <c r="D29" s="4" t="s">
        <v>46</v>
      </c>
      <c r="E29" s="4"/>
      <c r="F29" s="281">
        <f>'ADJ DETAIL INPUT'!E28</f>
        <v>429</v>
      </c>
      <c r="G29" s="281">
        <f>H29-F29</f>
        <v>41.933333333333337</v>
      </c>
      <c r="H29" s="282">
        <f>'ADJ DETAIL INPUT'!AV28</f>
        <v>470.93333333333334</v>
      </c>
      <c r="I29" s="281"/>
      <c r="J29" s="281">
        <f>H29+I29</f>
        <v>470.93333333333334</v>
      </c>
      <c r="K29" s="492"/>
      <c r="L29" s="492"/>
      <c r="AU29" s="446"/>
    </row>
    <row r="30" spans="1:47">
      <c r="A30" s="320">
        <v>11</v>
      </c>
      <c r="B30" s="1"/>
      <c r="C30" s="4"/>
      <c r="D30" s="4" t="s">
        <v>22</v>
      </c>
      <c r="E30" s="4"/>
      <c r="F30" s="283">
        <f>'ADJ DETAIL INPUT'!E29</f>
        <v>292</v>
      </c>
      <c r="G30" s="283">
        <f>H30-F30</f>
        <v>-73.153922804490065</v>
      </c>
      <c r="H30" s="284">
        <f>'ADJ DETAIL INPUT'!AV29</f>
        <v>218.84607719550993</v>
      </c>
      <c r="I30" s="283"/>
      <c r="J30" s="283">
        <f>H30+I30</f>
        <v>218.84607719550993</v>
      </c>
      <c r="K30" s="492"/>
      <c r="L30" s="492"/>
      <c r="AU30" s="446"/>
    </row>
    <row r="31" spans="1:47">
      <c r="A31" s="154">
        <v>12</v>
      </c>
      <c r="B31" s="1"/>
      <c r="C31" s="4"/>
      <c r="D31" s="4"/>
      <c r="E31" s="4" t="s">
        <v>47</v>
      </c>
      <c r="F31" s="281">
        <f>SUM(F28:F30)</f>
        <v>1554</v>
      </c>
      <c r="G31" s="281">
        <f>SUM(G28:G30)</f>
        <v>59.484744501144604</v>
      </c>
      <c r="H31" s="281">
        <f>SUM(H28:H30)</f>
        <v>1613.4847445011446</v>
      </c>
      <c r="I31" s="281">
        <f>SUM(I28:I30)</f>
        <v>0</v>
      </c>
      <c r="J31" s="281">
        <f>SUM(J28:J30)</f>
        <v>1613.4847445011446</v>
      </c>
      <c r="K31" s="492"/>
      <c r="L31" s="492"/>
      <c r="AU31" s="446"/>
    </row>
    <row r="32" spans="1:47" ht="3" customHeight="1">
      <c r="A32" s="154"/>
      <c r="B32" s="1"/>
      <c r="C32" s="4"/>
      <c r="D32" s="4"/>
      <c r="E32" s="4"/>
      <c r="F32" s="281"/>
      <c r="G32" s="281"/>
      <c r="H32" s="282"/>
      <c r="I32" s="281"/>
      <c r="J32" s="281"/>
      <c r="K32" s="492"/>
      <c r="L32" s="492"/>
      <c r="AU32" s="446"/>
    </row>
    <row r="33" spans="1:47">
      <c r="A33" s="154"/>
      <c r="B33" s="1"/>
      <c r="C33" s="4" t="s">
        <v>48</v>
      </c>
      <c r="D33" s="4"/>
      <c r="E33" s="4"/>
      <c r="F33" s="281"/>
      <c r="G33" s="281"/>
      <c r="H33" s="281"/>
      <c r="I33" s="281"/>
      <c r="J33" s="281"/>
      <c r="K33" s="492"/>
      <c r="L33" s="492"/>
      <c r="AU33" s="446"/>
    </row>
    <row r="34" spans="1:47">
      <c r="A34" s="960" t="s">
        <v>596</v>
      </c>
      <c r="B34" s="1"/>
      <c r="C34" s="4"/>
      <c r="D34" s="4" t="s">
        <v>45</v>
      </c>
      <c r="E34" s="4"/>
      <c r="F34" s="281">
        <f>'ADJ DETAIL INPUT'!E33</f>
        <v>11531</v>
      </c>
      <c r="G34" s="281">
        <f>H34-F34</f>
        <v>1742.5486439543638</v>
      </c>
      <c r="H34" s="282">
        <f>'ADJ DETAIL INPUT'!AV33</f>
        <v>13273.548643954364</v>
      </c>
      <c r="I34" s="281"/>
      <c r="J34" s="281">
        <f>H34+I34</f>
        <v>13273.548643954364</v>
      </c>
      <c r="K34" s="492"/>
      <c r="L34" s="492"/>
      <c r="AU34" s="446"/>
    </row>
    <row r="35" spans="1:47">
      <c r="A35" s="154">
        <v>14</v>
      </c>
      <c r="B35" s="1"/>
      <c r="C35" s="4"/>
      <c r="D35" s="4" t="s">
        <v>46</v>
      </c>
      <c r="E35" s="4"/>
      <c r="F35" s="281">
        <f>'ADJ DETAIL INPUT'!E34</f>
        <v>8931</v>
      </c>
      <c r="G35" s="281">
        <f>H35-F35</f>
        <v>1049.8333333333321</v>
      </c>
      <c r="H35" s="282">
        <f>'ADJ DETAIL INPUT'!AV34</f>
        <v>9980.8333333333321</v>
      </c>
      <c r="I35" s="281"/>
      <c r="J35" s="281">
        <f>H35+I35</f>
        <v>9980.8333333333321</v>
      </c>
      <c r="K35" s="492"/>
      <c r="L35" s="492"/>
      <c r="AU35" s="446"/>
    </row>
    <row r="36" spans="1:47">
      <c r="A36" s="154">
        <v>15</v>
      </c>
      <c r="B36" s="1"/>
      <c r="C36" s="4"/>
      <c r="D36" s="4" t="s">
        <v>22</v>
      </c>
      <c r="E36" s="4"/>
      <c r="F36" s="285">
        <f>'ADJ DETAIL INPUT'!E35</f>
        <v>14014</v>
      </c>
      <c r="G36" s="283">
        <f>H36-F36</f>
        <v>-7186.8022090161476</v>
      </c>
      <c r="H36" s="284">
        <f>'ADJ DETAIL INPUT'!AV35</f>
        <v>6827.1977909838524</v>
      </c>
      <c r="I36" s="920">
        <f>CF!J19</f>
        <v>82</v>
      </c>
      <c r="J36" s="920">
        <f>H36+I36</f>
        <v>6909.1977909838524</v>
      </c>
      <c r="K36" s="492"/>
      <c r="L36" s="492"/>
      <c r="AU36" s="446"/>
    </row>
    <row r="37" spans="1:47">
      <c r="A37" s="154">
        <v>16</v>
      </c>
      <c r="B37" s="1"/>
      <c r="C37" s="4"/>
      <c r="D37" s="4"/>
      <c r="E37" s="4" t="s">
        <v>49</v>
      </c>
      <c r="F37" s="281">
        <f>SUM(F34:F36)</f>
        <v>34476</v>
      </c>
      <c r="G37" s="281">
        <f t="shared" ref="G37:J37" si="2">SUM(G34:G36)</f>
        <v>-4394.4202317284517</v>
      </c>
      <c r="H37" s="281">
        <f t="shared" si="2"/>
        <v>30081.579768271549</v>
      </c>
      <c r="I37" s="918">
        <f t="shared" si="2"/>
        <v>82</v>
      </c>
      <c r="J37" s="918">
        <f t="shared" si="2"/>
        <v>30163.579768271549</v>
      </c>
      <c r="K37" s="492"/>
      <c r="L37" s="492"/>
      <c r="AU37" s="446"/>
    </row>
    <row r="38" spans="1:47" ht="5.25" customHeight="1">
      <c r="A38" s="2"/>
      <c r="B38" s="1"/>
      <c r="C38" s="4"/>
      <c r="D38" s="4"/>
      <c r="E38" s="4"/>
      <c r="F38" s="281"/>
      <c r="G38" s="281"/>
      <c r="H38" s="281"/>
      <c r="I38" s="281"/>
      <c r="J38" s="281"/>
      <c r="AU38" s="446"/>
    </row>
    <row r="39" spans="1:47">
      <c r="A39" s="2">
        <v>17</v>
      </c>
      <c r="B39" s="1" t="s">
        <v>50</v>
      </c>
      <c r="C39" s="4"/>
      <c r="D39" s="4"/>
      <c r="E39" s="4"/>
      <c r="F39" s="281">
        <f>'ADJ DETAIL INPUT'!E38</f>
        <v>6595</v>
      </c>
      <c r="G39" s="281">
        <f>H39-F39</f>
        <v>90.88182336349746</v>
      </c>
      <c r="H39" s="282">
        <f>'ADJ DETAIL INPUT'!AV38</f>
        <v>6685.8818233634975</v>
      </c>
      <c r="I39" s="918">
        <f>CF!J15</f>
        <v>13</v>
      </c>
      <c r="J39" s="918">
        <f>H39+I39</f>
        <v>6698.8818233634975</v>
      </c>
      <c r="AU39" s="446"/>
    </row>
    <row r="40" spans="1:47">
      <c r="A40" s="2">
        <v>18</v>
      </c>
      <c r="B40" s="1" t="s">
        <v>51</v>
      </c>
      <c r="C40" s="4"/>
      <c r="D40" s="4"/>
      <c r="E40" s="4"/>
      <c r="F40" s="281">
        <f>'ADJ DETAIL INPUT'!E39</f>
        <v>5790</v>
      </c>
      <c r="G40" s="281">
        <f>H40-F40</f>
        <v>-4887.8513832732597</v>
      </c>
      <c r="H40" s="282">
        <f>'ADJ DETAIL INPUT'!AV39</f>
        <v>902.14861672673999</v>
      </c>
      <c r="I40" s="281"/>
      <c r="J40" s="281">
        <f>H40+I40</f>
        <v>902.14861672673999</v>
      </c>
      <c r="AU40" s="446"/>
    </row>
    <row r="41" spans="1:47">
      <c r="A41" s="2">
        <v>19</v>
      </c>
      <c r="B41" s="1" t="s">
        <v>52</v>
      </c>
      <c r="C41" s="4"/>
      <c r="D41" s="4"/>
      <c r="E41" s="4"/>
      <c r="F41" s="281">
        <f>'ADJ DETAIL INPUT'!E40</f>
        <v>0</v>
      </c>
      <c r="G41" s="281">
        <f>H41-F41</f>
        <v>0</v>
      </c>
      <c r="H41" s="286">
        <f>'ADJ DETAIL INPUT'!AV40</f>
        <v>0</v>
      </c>
      <c r="I41" s="281"/>
      <c r="J41" s="281">
        <f>H41+I41</f>
        <v>0</v>
      </c>
      <c r="AU41" s="446"/>
    </row>
    <row r="42" spans="1:47" ht="4.5" customHeight="1">
      <c r="A42" s="154"/>
      <c r="B42" s="1"/>
      <c r="C42" s="4"/>
      <c r="D42" s="4"/>
      <c r="E42" s="4"/>
      <c r="F42" s="281"/>
      <c r="G42" s="281"/>
      <c r="H42" s="286"/>
      <c r="I42" s="281"/>
      <c r="J42" s="281"/>
      <c r="AU42" s="446"/>
    </row>
    <row r="43" spans="1:47">
      <c r="A43" s="2"/>
      <c r="B43" s="1" t="s">
        <v>53</v>
      </c>
      <c r="C43" s="4"/>
      <c r="D43" s="4"/>
      <c r="E43" s="4"/>
      <c r="F43" s="281"/>
      <c r="G43" s="281"/>
      <c r="H43" s="281"/>
      <c r="I43" s="281"/>
      <c r="J43" s="281"/>
      <c r="AU43" s="446"/>
    </row>
    <row r="44" spans="1:47">
      <c r="A44" s="2">
        <v>20</v>
      </c>
      <c r="B44" s="1"/>
      <c r="C44" s="4" t="s">
        <v>45</v>
      </c>
      <c r="D44" s="4"/>
      <c r="E44" s="4"/>
      <c r="F44" s="281">
        <f>'ADJ DETAIL INPUT'!E43</f>
        <v>13388</v>
      </c>
      <c r="G44" s="281">
        <f>H44-F44</f>
        <v>1378.617805622649</v>
      </c>
      <c r="H44" s="282">
        <f>'ADJ DETAIL INPUT'!AV43</f>
        <v>14766.617805622649</v>
      </c>
      <c r="I44" s="918">
        <f>CF!J17</f>
        <v>4</v>
      </c>
      <c r="J44" s="918">
        <f>H44+I44</f>
        <v>14770.617805622649</v>
      </c>
      <c r="AU44" s="446"/>
    </row>
    <row r="45" spans="1:47">
      <c r="A45" s="2">
        <v>21</v>
      </c>
      <c r="B45" s="1"/>
      <c r="C45" s="4" t="s">
        <v>208</v>
      </c>
      <c r="D45" s="4"/>
      <c r="E45" s="4"/>
      <c r="F45" s="281">
        <f>'ADJ DETAIL INPUT'!E44</f>
        <v>5206</v>
      </c>
      <c r="G45" s="281">
        <f>H45-F45</f>
        <v>1408.4666666666662</v>
      </c>
      <c r="H45" s="282">
        <f>'ADJ DETAIL INPUT'!AV44</f>
        <v>6614.4666666666662</v>
      </c>
      <c r="I45" s="281"/>
      <c r="J45" s="281">
        <f>H45+I45</f>
        <v>6614.4666666666662</v>
      </c>
      <c r="AU45" s="446"/>
    </row>
    <row r="46" spans="1:47">
      <c r="A46" s="154">
        <v>22</v>
      </c>
      <c r="B46" s="1"/>
      <c r="C46" s="9" t="s">
        <v>425</v>
      </c>
      <c r="D46" s="4"/>
      <c r="E46" s="4"/>
      <c r="F46" s="281">
        <f>'ADJ DETAIL INPUT'!E45</f>
        <v>0</v>
      </c>
      <c r="G46" s="281">
        <f>H46-F46</f>
        <v>809</v>
      </c>
      <c r="H46" s="282">
        <f>'ADJ DETAIL INPUT'!AV45</f>
        <v>809</v>
      </c>
      <c r="I46" s="281"/>
      <c r="J46" s="281">
        <f>H46+I46</f>
        <v>809</v>
      </c>
      <c r="AU46" s="446"/>
    </row>
    <row r="47" spans="1:47">
      <c r="A47" s="5">
        <v>23</v>
      </c>
      <c r="B47" s="1"/>
      <c r="C47" s="4" t="s">
        <v>22</v>
      </c>
      <c r="D47" s="4"/>
      <c r="E47" s="4"/>
      <c r="F47" s="283">
        <f>'ADJ DETAIL INPUT'!E46</f>
        <v>0</v>
      </c>
      <c r="G47" s="283">
        <f>H47-F47</f>
        <v>0</v>
      </c>
      <c r="H47" s="284">
        <f>'ADJ DETAIL INPUT'!AV46</f>
        <v>0</v>
      </c>
      <c r="I47" s="283"/>
      <c r="J47" s="283">
        <f>H47+I47</f>
        <v>0</v>
      </c>
      <c r="AU47" s="446"/>
    </row>
    <row r="48" spans="1:47">
      <c r="A48" s="5">
        <v>24</v>
      </c>
      <c r="B48" s="1"/>
      <c r="C48" s="4"/>
      <c r="D48" s="4" t="s">
        <v>54</v>
      </c>
      <c r="E48" s="36"/>
      <c r="F48" s="287">
        <f>SUM(F44:F47)</f>
        <v>18594</v>
      </c>
      <c r="G48" s="287">
        <f t="shared" ref="G48:J48" si="3">SUM(G44:G47)</f>
        <v>3596.0844722893153</v>
      </c>
      <c r="H48" s="287">
        <f t="shared" si="3"/>
        <v>22190.084472289316</v>
      </c>
      <c r="I48" s="921">
        <f t="shared" si="3"/>
        <v>4</v>
      </c>
      <c r="J48" s="921">
        <f t="shared" si="3"/>
        <v>22194.084472289316</v>
      </c>
      <c r="AU48" s="446"/>
    </row>
    <row r="49" spans="1:47">
      <c r="A49" s="5">
        <v>25</v>
      </c>
      <c r="B49" s="1" t="s">
        <v>55</v>
      </c>
      <c r="C49" s="4"/>
      <c r="D49" s="4"/>
      <c r="E49" s="4"/>
      <c r="F49" s="283">
        <f>F48+F37+F31+F25+F39+F40+F41</f>
        <v>241428</v>
      </c>
      <c r="G49" s="283">
        <f>G48+G37+G31+G25+G39+G40+G41</f>
        <v>-179048.3606146719</v>
      </c>
      <c r="H49" s="283">
        <f>H48+H37+H31+H25+H39+H40+H41</f>
        <v>62379.639385328104</v>
      </c>
      <c r="I49" s="920">
        <f>I48+I37+I31+I25+I39+I40+I41</f>
        <v>99</v>
      </c>
      <c r="J49" s="920">
        <f>J48+J37+J31+J25+J39+J40+J41</f>
        <v>62478.639385328104</v>
      </c>
      <c r="AU49" s="446"/>
    </row>
    <row r="50" spans="1:47" ht="8.25" customHeight="1">
      <c r="A50" s="5"/>
      <c r="B50" s="1"/>
      <c r="C50" s="4"/>
      <c r="D50" s="4"/>
      <c r="E50" s="4"/>
      <c r="F50" s="281"/>
      <c r="G50" s="281"/>
      <c r="H50" s="281"/>
      <c r="I50" s="281"/>
      <c r="J50" s="281"/>
      <c r="AU50" s="446"/>
    </row>
    <row r="51" spans="1:47">
      <c r="A51" s="5">
        <v>26</v>
      </c>
      <c r="B51" s="1" t="s">
        <v>56</v>
      </c>
      <c r="C51" s="4"/>
      <c r="D51" s="4"/>
      <c r="E51" s="4"/>
      <c r="F51" s="281">
        <f>F18-F49</f>
        <v>20266</v>
      </c>
      <c r="G51" s="281">
        <f>G18-G49</f>
        <v>7971.9416302466998</v>
      </c>
      <c r="H51" s="281">
        <f>H18-H49</f>
        <v>28237.941630246714</v>
      </c>
      <c r="I51" s="918">
        <f>I18-I49</f>
        <v>2044</v>
      </c>
      <c r="J51" s="918">
        <f>J18-J49</f>
        <v>30281.941630246714</v>
      </c>
      <c r="K51" s="496"/>
      <c r="AU51" s="446"/>
    </row>
    <row r="52" spans="1:47" ht="6.75" customHeight="1">
      <c r="A52" s="5"/>
      <c r="B52" s="1"/>
      <c r="C52" s="4"/>
      <c r="D52" s="4"/>
      <c r="E52" s="4"/>
      <c r="F52" s="281"/>
      <c r="G52" s="281"/>
      <c r="H52" s="281"/>
      <c r="I52" s="281"/>
      <c r="J52" s="281"/>
      <c r="AU52" s="446"/>
    </row>
    <row r="53" spans="1:47">
      <c r="A53" s="5"/>
      <c r="B53" s="1" t="s">
        <v>57</v>
      </c>
      <c r="C53" s="4"/>
      <c r="D53" s="4"/>
      <c r="E53" s="4"/>
      <c r="F53" s="281"/>
      <c r="G53" s="281"/>
      <c r="H53" s="281"/>
      <c r="I53" s="281"/>
      <c r="J53" s="281"/>
      <c r="N53" s="415"/>
      <c r="AU53" s="446"/>
    </row>
    <row r="54" spans="1:47">
      <c r="A54" s="5">
        <v>27</v>
      </c>
      <c r="B54" s="1"/>
      <c r="C54" s="4" t="s">
        <v>58</v>
      </c>
      <c r="D54" s="4"/>
      <c r="E54" s="4"/>
      <c r="F54" s="281">
        <f>'ADJ DETAIL INPUT'!E53</f>
        <v>-6651</v>
      </c>
      <c r="G54" s="281">
        <f>H54-F54</f>
        <v>7000.8295705863493</v>
      </c>
      <c r="H54" s="282">
        <f>'ADJ DETAIL INPUT'!AV53</f>
        <v>349.82957058634929</v>
      </c>
      <c r="I54" s="918">
        <f>CF!J25</f>
        <v>715</v>
      </c>
      <c r="J54" s="918">
        <f>H54+I54</f>
        <v>1064.8295705863493</v>
      </c>
      <c r="N54" s="105"/>
      <c r="Q54" s="105"/>
      <c r="AU54" s="446"/>
    </row>
    <row r="55" spans="1:47">
      <c r="A55" s="5">
        <v>28</v>
      </c>
      <c r="B55" s="1"/>
      <c r="C55" s="194" t="s">
        <v>189</v>
      </c>
      <c r="D55" s="4"/>
      <c r="E55" s="4"/>
      <c r="F55" s="281">
        <f>'ADJ DETAIL INPUT'!E54</f>
        <v>0</v>
      </c>
      <c r="G55" s="281">
        <f>H55-F55</f>
        <v>-364.0596304848483</v>
      </c>
      <c r="H55" s="282">
        <f>'ADJ DETAIL INPUT'!AV54</f>
        <v>-364.0596304848483</v>
      </c>
      <c r="I55" s="281">
        <f>CF!J26</f>
        <v>0</v>
      </c>
      <c r="J55" s="281">
        <f>H55+I55</f>
        <v>-364.0596304848483</v>
      </c>
      <c r="N55" s="415"/>
      <c r="AU55" s="446"/>
    </row>
    <row r="56" spans="1:47">
      <c r="A56" s="5">
        <v>29</v>
      </c>
      <c r="B56" s="1"/>
      <c r="C56" s="4" t="s">
        <v>59</v>
      </c>
      <c r="D56" s="4"/>
      <c r="E56" s="4"/>
      <c r="F56" s="281">
        <f>'ADJ DETAIL INPUT'!E55</f>
        <v>12388</v>
      </c>
      <c r="G56" s="281">
        <f>H56-F56</f>
        <v>-4550</v>
      </c>
      <c r="H56" s="282">
        <f>'ADJ DETAIL INPUT'!AV55</f>
        <v>7838</v>
      </c>
      <c r="I56" s="281"/>
      <c r="J56" s="281">
        <f>H56+I56</f>
        <v>7838</v>
      </c>
      <c r="AU56" s="446"/>
    </row>
    <row r="57" spans="1:47">
      <c r="A57" s="5">
        <v>30</v>
      </c>
      <c r="B57" s="1"/>
      <c r="C57" s="4" t="s">
        <v>60</v>
      </c>
      <c r="D57" s="4"/>
      <c r="E57" s="4"/>
      <c r="F57" s="283">
        <f>'ADJ DETAIL INPUT'!E56</f>
        <v>-20</v>
      </c>
      <c r="G57" s="283">
        <f>H57-F57</f>
        <v>0</v>
      </c>
      <c r="H57" s="284">
        <f>'ADJ DETAIL INPUT'!AV56</f>
        <v>-20</v>
      </c>
      <c r="I57" s="283"/>
      <c r="J57" s="283">
        <f>H57+I57</f>
        <v>-20</v>
      </c>
      <c r="N57" s="156"/>
      <c r="AU57" s="446"/>
    </row>
    <row r="58" spans="1:47" ht="6" customHeight="1">
      <c r="A58" s="2"/>
      <c r="B58" s="1"/>
      <c r="C58" s="1"/>
      <c r="D58" s="1"/>
      <c r="E58" s="1"/>
      <c r="F58" s="281"/>
      <c r="G58" s="281"/>
      <c r="H58" s="281"/>
      <c r="I58" s="288"/>
      <c r="J58" s="281"/>
      <c r="AU58" s="446"/>
    </row>
    <row r="59" spans="1:47" ht="13.5" thickBot="1">
      <c r="A59" s="2">
        <v>31</v>
      </c>
      <c r="B59" s="3" t="s">
        <v>61</v>
      </c>
      <c r="C59" s="3"/>
      <c r="D59" s="3"/>
      <c r="E59" s="3"/>
      <c r="F59" s="289">
        <f>F51-SUM(F54:F57)</f>
        <v>14549</v>
      </c>
      <c r="G59" s="289">
        <f>G51-SUM(G54:G57)</f>
        <v>5885.1716901451991</v>
      </c>
      <c r="H59" s="289">
        <f>H51-SUM(H54:H57)</f>
        <v>20434.171690145213</v>
      </c>
      <c r="I59" s="922">
        <f>I51-SUM(I54:I57)</f>
        <v>1329</v>
      </c>
      <c r="J59" s="922">
        <f>J51-SUM(J54:J57)</f>
        <v>21763.171690145213</v>
      </c>
      <c r="N59" s="126"/>
      <c r="AU59" s="446"/>
    </row>
    <row r="60" spans="1:47" ht="7.5" customHeight="1" thickTop="1">
      <c r="A60" s="2"/>
      <c r="B60" s="1"/>
      <c r="C60" s="1"/>
      <c r="D60" s="1"/>
      <c r="E60" s="1"/>
      <c r="F60" s="281"/>
      <c r="G60" s="281"/>
      <c r="H60" s="281"/>
      <c r="I60" s="281"/>
      <c r="J60" s="281"/>
      <c r="AU60" s="446"/>
    </row>
    <row r="61" spans="1:47" hidden="1">
      <c r="A61" s="2"/>
      <c r="B61" s="1"/>
      <c r="C61" s="1"/>
      <c r="D61" s="1"/>
      <c r="E61" s="1"/>
      <c r="F61" s="281"/>
      <c r="G61" s="281"/>
      <c r="H61" s="281"/>
      <c r="I61" s="281"/>
      <c r="J61" s="281"/>
      <c r="AU61" s="446"/>
    </row>
    <row r="62" spans="1:47">
      <c r="A62" s="2"/>
      <c r="B62" s="1" t="s">
        <v>62</v>
      </c>
      <c r="C62" s="1"/>
      <c r="D62" s="1"/>
      <c r="E62" s="1"/>
      <c r="F62" s="281"/>
      <c r="G62" s="281"/>
      <c r="H62" s="281"/>
      <c r="I62" s="281"/>
      <c r="J62" s="281"/>
      <c r="AU62" s="889"/>
    </row>
    <row r="63" spans="1:47">
      <c r="A63" s="2">
        <v>32</v>
      </c>
      <c r="B63" s="4"/>
      <c r="C63" s="4" t="s">
        <v>44</v>
      </c>
      <c r="D63" s="4"/>
      <c r="E63" s="4"/>
      <c r="F63" s="281">
        <f>'ADJ DETAIL INPUT'!E62</f>
        <v>25622</v>
      </c>
      <c r="G63" s="281">
        <f>H63-F63</f>
        <v>-80.183928571423166</v>
      </c>
      <c r="H63" s="282">
        <f>'ADJ DETAIL INPUT'!AV62</f>
        <v>25541.816071428577</v>
      </c>
      <c r="I63" s="281"/>
      <c r="J63" s="281">
        <f>H63+I63</f>
        <v>25541.816071428577</v>
      </c>
      <c r="AU63" s="889"/>
    </row>
    <row r="64" spans="1:47">
      <c r="A64" s="960" t="s">
        <v>596</v>
      </c>
      <c r="B64" s="4"/>
      <c r="C64" s="4" t="s">
        <v>63</v>
      </c>
      <c r="D64" s="4"/>
      <c r="E64" s="4"/>
      <c r="F64" s="281">
        <f>'ADJ DETAIL INPUT'!E63</f>
        <v>354360</v>
      </c>
      <c r="G64" s="281">
        <f>H64-F64</f>
        <v>57263.264123376575</v>
      </c>
      <c r="H64" s="282">
        <f>'ADJ DETAIL INPUT'!AV63</f>
        <v>411623.26412337658</v>
      </c>
      <c r="I64" s="281"/>
      <c r="J64" s="281">
        <f>H64+I64</f>
        <v>411623.26412337658</v>
      </c>
      <c r="AU64" s="889"/>
    </row>
    <row r="65" spans="1:47">
      <c r="A65" s="2">
        <v>34</v>
      </c>
      <c r="B65" s="4"/>
      <c r="C65" s="4" t="s">
        <v>64</v>
      </c>
      <c r="D65" s="4"/>
      <c r="E65" s="4"/>
      <c r="F65" s="283">
        <f>'ADJ DETAIL INPUT'!E64</f>
        <v>69725</v>
      </c>
      <c r="G65" s="283">
        <f>H65-F65</f>
        <v>20051.112500000003</v>
      </c>
      <c r="H65" s="284">
        <f>'ADJ DETAIL INPUT'!AV64</f>
        <v>89776.112500000003</v>
      </c>
      <c r="I65" s="283"/>
      <c r="J65" s="283">
        <f>H65+I65</f>
        <v>89776.112500000003</v>
      </c>
      <c r="AU65" s="446"/>
    </row>
    <row r="66" spans="1:47">
      <c r="A66" s="2">
        <v>35</v>
      </c>
      <c r="B66" s="4"/>
      <c r="C66" s="4"/>
      <c r="D66" s="4"/>
      <c r="E66" s="4" t="s">
        <v>65</v>
      </c>
      <c r="F66" s="290">
        <f>SUM(F63:F65)</f>
        <v>449707</v>
      </c>
      <c r="G66" s="290">
        <f t="shared" ref="G66:J66" si="4">SUM(G63:G65)</f>
        <v>77234.192694805155</v>
      </c>
      <c r="H66" s="290">
        <f t="shared" si="4"/>
        <v>526941.19269480521</v>
      </c>
      <c r="I66" s="290">
        <f t="shared" si="4"/>
        <v>0</v>
      </c>
      <c r="J66" s="290">
        <f t="shared" si="4"/>
        <v>526941.19269480521</v>
      </c>
      <c r="AU66" s="446"/>
    </row>
    <row r="67" spans="1:47" ht="5.25" customHeight="1">
      <c r="A67" s="154"/>
      <c r="B67" s="4"/>
      <c r="C67" s="4"/>
      <c r="D67" s="4"/>
      <c r="E67" s="4"/>
      <c r="F67" s="290"/>
      <c r="G67" s="290"/>
      <c r="H67" s="290"/>
      <c r="I67" s="290"/>
      <c r="J67" s="290"/>
      <c r="AU67" s="446"/>
    </row>
    <row r="68" spans="1:47">
      <c r="A68" s="2"/>
      <c r="B68" s="4" t="s">
        <v>430</v>
      </c>
      <c r="C68" s="4"/>
      <c r="D68" s="4"/>
      <c r="E68" s="4"/>
      <c r="F68" s="281"/>
      <c r="G68" s="281"/>
      <c r="H68" s="281"/>
      <c r="I68" s="281"/>
      <c r="J68" s="281"/>
      <c r="AU68" s="446"/>
    </row>
    <row r="69" spans="1:47">
      <c r="A69" s="2">
        <v>36</v>
      </c>
      <c r="B69" s="4"/>
      <c r="C69" s="4" t="s">
        <v>44</v>
      </c>
      <c r="D69" s="4"/>
      <c r="E69" s="4"/>
      <c r="F69" s="281">
        <f>'ADJ DETAIL INPUT'!E68</f>
        <v>-9824</v>
      </c>
      <c r="G69" s="281">
        <f t="shared" ref="G69:G79" si="5">H69-F69</f>
        <v>-1228.2586038961053</v>
      </c>
      <c r="H69" s="282">
        <f>'ADJ DETAIL INPUT'!AV68</f>
        <v>-11052.258603896105</v>
      </c>
      <c r="I69" s="281"/>
      <c r="J69" s="281">
        <f t="shared" ref="J69:J79" si="6">H69+I69</f>
        <v>-11052.258603896105</v>
      </c>
      <c r="AU69" s="446"/>
    </row>
    <row r="70" spans="1:47">
      <c r="A70" s="2">
        <v>37</v>
      </c>
      <c r="B70" s="4"/>
      <c r="C70" s="4" t="s">
        <v>63</v>
      </c>
      <c r="D70" s="4"/>
      <c r="E70" s="4"/>
      <c r="F70" s="281">
        <f>'ADJ DETAIL INPUT'!E69</f>
        <v>-119790</v>
      </c>
      <c r="G70" s="281">
        <f t="shared" si="5"/>
        <v>-18414.856168831175</v>
      </c>
      <c r="H70" s="282">
        <f>'ADJ DETAIL INPUT'!AV69</f>
        <v>-138204.85616883117</v>
      </c>
      <c r="I70" s="281"/>
      <c r="J70" s="281">
        <f t="shared" si="6"/>
        <v>-138204.85616883117</v>
      </c>
      <c r="AU70" s="446"/>
    </row>
    <row r="71" spans="1:47">
      <c r="A71" s="2">
        <v>38</v>
      </c>
      <c r="B71" s="4"/>
      <c r="C71" s="4" t="s">
        <v>64</v>
      </c>
      <c r="D71" s="4"/>
      <c r="E71" s="4"/>
      <c r="F71" s="283">
        <f>'ADJ DETAIL INPUT'!E70</f>
        <v>-19460</v>
      </c>
      <c r="G71" s="283">
        <f t="shared" si="5"/>
        <v>-4840.7999999999993</v>
      </c>
      <c r="H71" s="284">
        <f>'ADJ DETAIL INPUT'!AV70</f>
        <v>-24300.799999999999</v>
      </c>
      <c r="I71" s="283"/>
      <c r="J71" s="283">
        <f t="shared" si="6"/>
        <v>-24300.799999999999</v>
      </c>
      <c r="AU71" s="446"/>
    </row>
    <row r="72" spans="1:47">
      <c r="A72" s="2">
        <v>39</v>
      </c>
      <c r="B72" s="4" t="s">
        <v>431</v>
      </c>
      <c r="C72" s="4"/>
      <c r="D72" s="4"/>
      <c r="E72" s="36"/>
      <c r="F72" s="287">
        <f>SUM(F69:F71)</f>
        <v>-149074</v>
      </c>
      <c r="G72" s="287">
        <f t="shared" ref="G72:J72" si="7">SUM(G69:G71)</f>
        <v>-24483.914772727279</v>
      </c>
      <c r="H72" s="287">
        <f t="shared" si="7"/>
        <v>-173557.91477272726</v>
      </c>
      <c r="I72" s="287">
        <f t="shared" si="7"/>
        <v>0</v>
      </c>
      <c r="J72" s="287">
        <f t="shared" si="7"/>
        <v>-173557.91477272726</v>
      </c>
      <c r="AU72" s="446"/>
    </row>
    <row r="73" spans="1:47">
      <c r="A73" s="154">
        <v>40</v>
      </c>
      <c r="B73" s="194" t="s">
        <v>179</v>
      </c>
      <c r="C73" s="4"/>
      <c r="D73" s="4"/>
      <c r="E73" s="4"/>
      <c r="F73" s="290">
        <f>F66+F72</f>
        <v>300633</v>
      </c>
      <c r="G73" s="290">
        <f t="shared" ref="G73:J73" si="8">G66+G72</f>
        <v>52750.277922077876</v>
      </c>
      <c r="H73" s="290">
        <f t="shared" si="8"/>
        <v>353383.27792207792</v>
      </c>
      <c r="I73" s="290">
        <f t="shared" si="8"/>
        <v>0</v>
      </c>
      <c r="J73" s="290">
        <f t="shared" si="8"/>
        <v>353383.27792207792</v>
      </c>
      <c r="AU73" s="446"/>
    </row>
    <row r="74" spans="1:47">
      <c r="A74" s="5">
        <v>41</v>
      </c>
      <c r="B74" s="6" t="s">
        <v>67</v>
      </c>
      <c r="C74" s="6"/>
      <c r="D74" s="6"/>
      <c r="E74" s="6"/>
      <c r="F74" s="283">
        <f>'ADJ DETAIL INPUT'!E73</f>
        <v>-65675</v>
      </c>
      <c r="G74" s="283">
        <f t="shared" si="5"/>
        <v>-14521.587824675327</v>
      </c>
      <c r="H74" s="284">
        <f>'ADJ DETAIL INPUT'!AV73</f>
        <v>-80196.587824675327</v>
      </c>
      <c r="I74" s="283"/>
      <c r="J74" s="283">
        <f>H74+I74</f>
        <v>-80196.587824675327</v>
      </c>
      <c r="AU74" s="446"/>
    </row>
    <row r="75" spans="1:47">
      <c r="A75" s="5">
        <v>42</v>
      </c>
      <c r="B75" s="6"/>
      <c r="C75" s="196" t="s">
        <v>211</v>
      </c>
      <c r="D75" s="6"/>
      <c r="E75" s="6"/>
      <c r="F75" s="281">
        <f>F73+F74</f>
        <v>234958</v>
      </c>
      <c r="G75" s="281">
        <f t="shared" ref="G75:J75" si="9">G73+G74</f>
        <v>38228.690097402548</v>
      </c>
      <c r="H75" s="281">
        <f>H73+H74</f>
        <v>273186.69009740261</v>
      </c>
      <c r="I75" s="281">
        <f t="shared" si="9"/>
        <v>0</v>
      </c>
      <c r="J75" s="281">
        <f t="shared" si="9"/>
        <v>273186.69009740261</v>
      </c>
      <c r="AU75" s="446"/>
    </row>
    <row r="76" spans="1:47" ht="12" customHeight="1">
      <c r="A76" s="2">
        <v>43</v>
      </c>
      <c r="B76" s="327" t="s">
        <v>68</v>
      </c>
      <c r="C76" s="327"/>
      <c r="D76" s="327"/>
      <c r="E76" s="327"/>
      <c r="F76" s="328">
        <f>'ADJ DETAIL INPUT'!E75</f>
        <v>15143</v>
      </c>
      <c r="G76" s="328">
        <f t="shared" si="5"/>
        <v>-2403</v>
      </c>
      <c r="H76" s="329">
        <f>'ADJ DETAIL INPUT'!AV75</f>
        <v>12740</v>
      </c>
      <c r="I76" s="328"/>
      <c r="J76" s="918">
        <f t="shared" si="6"/>
        <v>12740</v>
      </c>
      <c r="AU76" s="446"/>
    </row>
    <row r="77" spans="1:47">
      <c r="A77" s="154">
        <v>44</v>
      </c>
      <c r="B77" s="327" t="s">
        <v>69</v>
      </c>
      <c r="C77" s="327"/>
      <c r="D77" s="327"/>
      <c r="E77" s="327"/>
      <c r="F77" s="328">
        <f>'ADJ DETAIL INPUT'!E76</f>
        <v>0</v>
      </c>
      <c r="G77" s="328">
        <f>H77-F77</f>
        <v>0</v>
      </c>
      <c r="H77" s="329">
        <f>'ADJ DETAIL INPUT'!AV76</f>
        <v>0</v>
      </c>
      <c r="I77" s="328"/>
      <c r="J77" s="328">
        <f t="shared" ref="J77" si="10">H77+I77</f>
        <v>0</v>
      </c>
      <c r="AU77" s="446"/>
    </row>
    <row r="78" spans="1:47">
      <c r="A78" s="154">
        <v>45</v>
      </c>
      <c r="B78" s="327" t="s">
        <v>432</v>
      </c>
      <c r="C78" s="327"/>
      <c r="D78" s="327"/>
      <c r="E78" s="327"/>
      <c r="F78" s="328">
        <f>'ADJ DETAIL INPUT'!E77</f>
        <v>-509</v>
      </c>
      <c r="G78" s="328">
        <f t="shared" ref="G78" si="11">H78-F78</f>
        <v>24</v>
      </c>
      <c r="H78" s="329">
        <f>'ADJ DETAIL INPUT'!AV77</f>
        <v>-485</v>
      </c>
      <c r="I78" s="328"/>
      <c r="J78" s="918">
        <f t="shared" ref="J78" si="12">H78+I78</f>
        <v>-485</v>
      </c>
      <c r="AU78" s="446"/>
    </row>
    <row r="79" spans="1:47">
      <c r="A79" s="2">
        <v>46</v>
      </c>
      <c r="B79" s="327" t="s">
        <v>183</v>
      </c>
      <c r="C79" s="327"/>
      <c r="D79" s="327"/>
      <c r="E79" s="327"/>
      <c r="F79" s="285">
        <f>'ADJ DETAIL INPUT'!E78</f>
        <v>9797</v>
      </c>
      <c r="G79" s="285">
        <f t="shared" si="5"/>
        <v>2886</v>
      </c>
      <c r="H79" s="330">
        <f>'ADJ DETAIL INPUT'!AV78</f>
        <v>12683</v>
      </c>
      <c r="I79" s="285"/>
      <c r="J79" s="285">
        <f t="shared" si="6"/>
        <v>12683</v>
      </c>
      <c r="AU79" s="446"/>
    </row>
    <row r="80" spans="1:47" ht="3" customHeight="1">
      <c r="A80" s="2"/>
      <c r="B80" s="1"/>
      <c r="C80" s="1"/>
      <c r="D80" s="1"/>
      <c r="E80" s="1"/>
      <c r="F80" s="65"/>
      <c r="G80" s="65"/>
      <c r="H80" s="98"/>
      <c r="I80" s="65"/>
      <c r="J80" s="65"/>
      <c r="AU80" s="446"/>
    </row>
    <row r="81" spans="1:140" ht="13.5" thickBot="1">
      <c r="A81" s="2">
        <v>47</v>
      </c>
      <c r="B81" s="3" t="s">
        <v>70</v>
      </c>
      <c r="C81" s="3"/>
      <c r="D81" s="3"/>
      <c r="E81" s="3"/>
      <c r="F81" s="97">
        <f>F79+F77+F76+F75+F78</f>
        <v>259389</v>
      </c>
      <c r="G81" s="97">
        <f>G79+G77+G76+G75</f>
        <v>38711.690097402548</v>
      </c>
      <c r="H81" s="97">
        <f>H79+H77+H76+H75+H78</f>
        <v>298124.69009740261</v>
      </c>
      <c r="I81" s="97">
        <f>I79+I77+I76+I75</f>
        <v>0</v>
      </c>
      <c r="J81" s="919">
        <f>J79+J77+J76+J75+J78</f>
        <v>298124.69009740261</v>
      </c>
      <c r="AU81" s="446"/>
    </row>
    <row r="82" spans="1:140" ht="13.5" thickTop="1">
      <c r="A82" s="2">
        <v>48</v>
      </c>
      <c r="B82" s="1" t="s">
        <v>485</v>
      </c>
      <c r="C82" s="1"/>
      <c r="D82" s="1"/>
      <c r="E82" s="1"/>
      <c r="F82" s="397">
        <f>ROUND(F59/F81,4)</f>
        <v>5.6099999999999997E-2</v>
      </c>
      <c r="G82" s="94"/>
      <c r="H82" s="397">
        <f>ROUND(H59/H81,4)</f>
        <v>6.8500000000000005E-2</v>
      </c>
      <c r="I82" s="7"/>
      <c r="J82" s="397">
        <f>ROUND(J59/J81,4)</f>
        <v>7.2999999999999995E-2</v>
      </c>
      <c r="AU82" s="446"/>
    </row>
    <row r="83" spans="1:140" s="492" customFormat="1">
      <c r="A83" s="903" t="s">
        <v>596</v>
      </c>
      <c r="B83" s="1"/>
      <c r="C83" s="1"/>
      <c r="D83" s="1"/>
      <c r="E83" s="1"/>
      <c r="F83" s="397"/>
      <c r="G83" s="94"/>
      <c r="H83" s="397"/>
      <c r="I83" s="7"/>
      <c r="J83" s="397"/>
      <c r="AE83" s="440"/>
      <c r="AF83" s="440"/>
      <c r="AG83" s="440"/>
      <c r="AH83" s="440"/>
      <c r="AI83" s="440"/>
      <c r="AJ83" s="636"/>
      <c r="AK83" s="440"/>
      <c r="AL83" s="440"/>
      <c r="AM83" s="440"/>
      <c r="AN83" s="440"/>
      <c r="AO83" s="440"/>
      <c r="AP83" s="440"/>
      <c r="AQ83" s="440"/>
      <c r="AR83" s="440"/>
      <c r="AS83" s="440"/>
      <c r="AT83" s="440"/>
      <c r="AU83" s="446"/>
      <c r="AV83" s="440"/>
      <c r="AW83" s="440"/>
      <c r="AX83" s="440"/>
      <c r="AY83" s="440"/>
      <c r="AZ83" s="440"/>
      <c r="BA83" s="440"/>
      <c r="BB83" s="440"/>
      <c r="BC83" s="440"/>
      <c r="BD83" s="440"/>
      <c r="BE83" s="440"/>
      <c r="BF83" s="440"/>
      <c r="BG83" s="440"/>
      <c r="BH83" s="440"/>
      <c r="BI83" s="440"/>
      <c r="BJ83" s="440"/>
      <c r="BK83" s="440"/>
      <c r="BL83" s="440"/>
      <c r="BM83" s="440"/>
      <c r="BN83" s="440"/>
      <c r="BO83" s="440"/>
      <c r="BP83" s="440"/>
      <c r="BQ83" s="440"/>
      <c r="BR83" s="440"/>
      <c r="BS83" s="440"/>
      <c r="BT83" s="440"/>
      <c r="BU83" s="440"/>
      <c r="BV83" s="440"/>
      <c r="BW83" s="440"/>
      <c r="BX83" s="440"/>
      <c r="BY83" s="440"/>
      <c r="BZ83" s="440"/>
      <c r="CA83" s="440"/>
      <c r="CB83" s="440"/>
      <c r="CC83" s="440"/>
      <c r="CD83" s="440"/>
      <c r="CE83" s="440"/>
      <c r="CF83" s="440"/>
      <c r="CG83" s="440"/>
      <c r="CH83" s="440"/>
      <c r="CI83" s="440"/>
      <c r="CJ83" s="440"/>
      <c r="CK83" s="440"/>
      <c r="CL83" s="440"/>
      <c r="CM83" s="440"/>
      <c r="CN83" s="440"/>
      <c r="CO83" s="440"/>
      <c r="CP83" s="440"/>
      <c r="CQ83" s="440"/>
      <c r="CR83" s="440"/>
      <c r="CS83" s="440"/>
      <c r="CT83" s="440"/>
      <c r="CU83" s="440"/>
      <c r="CV83" s="440"/>
      <c r="CW83" s="440"/>
      <c r="CX83" s="440"/>
      <c r="CY83" s="440"/>
      <c r="CZ83" s="440"/>
      <c r="DA83" s="440"/>
      <c r="DB83" s="440"/>
      <c r="DC83" s="440"/>
      <c r="DD83" s="440"/>
      <c r="DE83" s="440"/>
      <c r="DF83" s="440"/>
      <c r="DG83" s="440"/>
      <c r="DH83" s="440"/>
      <c r="DI83" s="440"/>
      <c r="DJ83" s="440"/>
      <c r="DK83" s="440"/>
      <c r="DL83" s="440"/>
      <c r="DM83" s="440"/>
      <c r="DN83" s="440"/>
      <c r="DO83" s="440"/>
      <c r="DP83" s="440"/>
      <c r="DQ83" s="440"/>
      <c r="DR83" s="440"/>
      <c r="DS83" s="440"/>
      <c r="DT83" s="440"/>
      <c r="DU83" s="440"/>
      <c r="DV83" s="440"/>
      <c r="DW83" s="440"/>
      <c r="DX83" s="440"/>
      <c r="DY83" s="440"/>
      <c r="DZ83" s="440"/>
      <c r="EA83" s="440"/>
      <c r="EB83" s="440"/>
      <c r="EC83" s="440"/>
      <c r="ED83" s="440"/>
      <c r="EE83" s="440"/>
      <c r="EF83" s="440"/>
      <c r="EG83" s="440"/>
      <c r="EH83" s="440"/>
      <c r="EI83" s="440"/>
      <c r="EJ83" s="440"/>
    </row>
    <row r="84" spans="1:140" ht="17.5" customHeight="1">
      <c r="A84" s="833" t="s">
        <v>585</v>
      </c>
      <c r="B84" s="833"/>
      <c r="C84" s="833"/>
      <c r="D84" s="833"/>
      <c r="E84" s="833"/>
      <c r="F84" s="833"/>
      <c r="G84" s="833"/>
      <c r="H84" s="833"/>
      <c r="I84" s="833"/>
      <c r="J84" s="833"/>
      <c r="K84" s="833"/>
      <c r="AE84" s="890"/>
      <c r="AF84" s="891"/>
      <c r="AU84" s="446"/>
    </row>
    <row r="85" spans="1:140">
      <c r="A85" s="95"/>
      <c r="B85" s="96"/>
      <c r="C85" s="96"/>
      <c r="D85" s="96"/>
      <c r="E85" s="68"/>
      <c r="F85" s="68"/>
      <c r="G85" s="68"/>
      <c r="H85" s="68"/>
      <c r="I85" s="68"/>
      <c r="J85" s="68"/>
    </row>
  </sheetData>
  <mergeCells count="1">
    <mergeCell ref="F6:J6"/>
  </mergeCells>
  <phoneticPr fontId="0" type="noConversion"/>
  <pageMargins left="0.75" right="0.5" top="0.72" bottom="0.84" header="0.5" footer="0.5"/>
  <pageSetup scale="69" orientation="portrait" r:id="rId1"/>
  <headerFooter scaleWithDoc="0" alignWithMargins="0">
    <oddHeader xml:space="preserve">&amp;RExhibit No. JH-3
Dockets UE-160228/UG-160229
Page &amp;P of &amp;N
Revised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AR84"/>
  <sheetViews>
    <sheetView view="pageBreakPreview" zoomScaleNormal="100" zoomScaleSheetLayoutView="100" workbookViewId="0">
      <selection activeCell="H10" sqref="H10"/>
    </sheetView>
  </sheetViews>
  <sheetFormatPr defaultColWidth="9.1796875" defaultRowHeight="13"/>
  <cols>
    <col min="1" max="1" width="4.7265625" style="71" customWidth="1"/>
    <col min="2" max="3" width="1.7265625" style="69" customWidth="1"/>
    <col min="4" max="4" width="2.7265625" style="69" customWidth="1"/>
    <col min="5" max="5" width="28.1796875" style="150" customWidth="1"/>
    <col min="6" max="6" width="16" style="150" customWidth="1"/>
    <col min="7" max="7" width="14.453125" style="150" customWidth="1"/>
    <col min="8" max="8" width="15.1796875" style="150" customWidth="1"/>
    <col min="9" max="9" width="15" style="150" customWidth="1"/>
    <col min="10" max="10" width="16.26953125" style="150" customWidth="1"/>
    <col min="11" max="11" width="15.7265625" style="492" customWidth="1"/>
    <col min="12" max="13" width="9" style="492" customWidth="1"/>
    <col min="14" max="14" width="9.1796875" style="492"/>
    <col min="15" max="15" width="9.81640625" style="492" bestFit="1" customWidth="1"/>
    <col min="16" max="17" width="9.1796875" style="492"/>
    <col min="18" max="18" width="11.1796875" style="492" bestFit="1" customWidth="1"/>
    <col min="19" max="31" width="9.1796875" style="492"/>
    <col min="32" max="32" width="14.7265625" style="492" customWidth="1"/>
    <col min="33" max="33" width="13" style="492" customWidth="1"/>
    <col min="34" max="16384" width="9.1796875" style="492"/>
  </cols>
  <sheetData>
    <row r="2" spans="1:44">
      <c r="A2" s="70" t="str">
        <f>'ROO INPUT'!A3:C3</f>
        <v>AVISTA UTILITIES</v>
      </c>
      <c r="D2" s="71"/>
    </row>
    <row r="3" spans="1:44" ht="17.5">
      <c r="A3" s="70" t="str">
        <f>'ADJ DETAIL INPUT'!A2</f>
        <v xml:space="preserve">WASHINGTON NATURAL GAS - ATTRITION ADJUSTED PRO FORMA STUDY </v>
      </c>
      <c r="D3" s="71"/>
      <c r="G3" s="124"/>
      <c r="H3" s="125"/>
      <c r="I3" s="125"/>
      <c r="J3" s="125"/>
      <c r="K3" s="496"/>
      <c r="L3" s="496"/>
      <c r="M3" s="496"/>
      <c r="N3" s="496"/>
      <c r="O3" s="496"/>
    </row>
    <row r="4" spans="1:44">
      <c r="A4" s="70" t="e">
        <f>'ADJ DETAIL INPUT'!#REF!</f>
        <v>#REF!</v>
      </c>
      <c r="D4" s="71"/>
      <c r="G4" s="587"/>
      <c r="H4" s="587"/>
      <c r="I4" s="587"/>
      <c r="J4" s="587"/>
      <c r="K4" s="332"/>
    </row>
    <row r="5" spans="1:44" ht="13.5" thickBot="1">
      <c r="A5" s="70" t="str">
        <f>'ROO INPUT'!A5:C5</f>
        <v>TWELVE MONTHS ENDED SEPTEMBER 30, 2015</v>
      </c>
      <c r="D5" s="71"/>
      <c r="G5" s="125"/>
      <c r="H5" s="125"/>
      <c r="I5" s="125"/>
      <c r="J5" s="125"/>
      <c r="K5" s="496"/>
    </row>
    <row r="6" spans="1:44" ht="14">
      <c r="A6" s="70" t="str">
        <f>'ROO INPUT'!A6:C6</f>
        <v xml:space="preserve">(000'S OF DOLLARS)   </v>
      </c>
      <c r="D6" s="71"/>
      <c r="F6" s="936" t="s">
        <v>540</v>
      </c>
      <c r="G6" s="937"/>
      <c r="H6" s="937"/>
      <c r="I6" s="937"/>
      <c r="J6" s="937"/>
      <c r="K6" s="938"/>
      <c r="AE6" s="496"/>
      <c r="AF6" s="335"/>
      <c r="AG6" s="336"/>
      <c r="AH6" s="496"/>
      <c r="AI6" s="496"/>
      <c r="AJ6" s="496"/>
      <c r="AK6" s="496"/>
      <c r="AL6" s="496"/>
      <c r="AM6" s="496"/>
      <c r="AN6" s="496"/>
      <c r="AO6" s="496"/>
      <c r="AP6" s="496"/>
      <c r="AQ6" s="496"/>
      <c r="AR6" s="496"/>
    </row>
    <row r="7" spans="1:44">
      <c r="A7" s="72"/>
      <c r="B7" s="72"/>
      <c r="C7" s="73"/>
      <c r="D7" s="73"/>
      <c r="E7" s="72"/>
      <c r="F7" s="74" t="s">
        <v>148</v>
      </c>
      <c r="G7" s="75"/>
      <c r="H7" s="76"/>
      <c r="I7" s="76"/>
      <c r="J7" s="76" t="s">
        <v>542</v>
      </c>
      <c r="K7" s="76"/>
      <c r="Q7" s="496"/>
      <c r="Z7" s="496"/>
      <c r="AA7" s="496"/>
      <c r="AE7" s="496"/>
      <c r="AF7" s="341"/>
      <c r="AG7" s="342"/>
      <c r="AH7" s="496"/>
      <c r="AI7" s="496"/>
      <c r="AJ7" s="496"/>
      <c r="AK7" s="496"/>
      <c r="AL7" s="496"/>
      <c r="AM7" s="496"/>
      <c r="AN7" s="496"/>
      <c r="AO7" s="496"/>
      <c r="AP7" s="496"/>
      <c r="AQ7" s="496"/>
      <c r="AR7" s="496"/>
    </row>
    <row r="8" spans="1:44">
      <c r="A8" s="77"/>
      <c r="B8" s="78"/>
      <c r="C8" s="79"/>
      <c r="D8" s="80"/>
      <c r="E8" s="81"/>
      <c r="F8" s="588" t="s">
        <v>516</v>
      </c>
      <c r="G8" s="588" t="s">
        <v>524</v>
      </c>
      <c r="H8" s="588" t="s">
        <v>524</v>
      </c>
      <c r="I8" s="41" t="s">
        <v>541</v>
      </c>
      <c r="J8" s="41" t="s">
        <v>543</v>
      </c>
      <c r="K8" s="594" t="s">
        <v>545</v>
      </c>
      <c r="AF8" s="337"/>
      <c r="AG8" s="338"/>
    </row>
    <row r="9" spans="1:44">
      <c r="A9" s="82" t="s">
        <v>7</v>
      </c>
      <c r="B9" s="83"/>
      <c r="C9" s="84"/>
      <c r="D9" s="85"/>
      <c r="E9" s="86"/>
      <c r="F9" s="43" t="s">
        <v>16</v>
      </c>
      <c r="G9" s="43" t="s">
        <v>538</v>
      </c>
      <c r="H9" s="43" t="s">
        <v>466</v>
      </c>
      <c r="I9" s="43" t="s">
        <v>151</v>
      </c>
      <c r="J9" s="43" t="s">
        <v>151</v>
      </c>
      <c r="K9" s="43" t="s">
        <v>150</v>
      </c>
      <c r="AF9" s="337"/>
      <c r="AG9" s="338"/>
    </row>
    <row r="10" spans="1:44">
      <c r="A10" s="87" t="s">
        <v>17</v>
      </c>
      <c r="B10" s="88"/>
      <c r="C10" s="89"/>
      <c r="D10" s="90"/>
      <c r="E10" s="91" t="s">
        <v>18</v>
      </c>
      <c r="F10" s="45" t="s">
        <v>544</v>
      </c>
      <c r="G10" s="45" t="s">
        <v>119</v>
      </c>
      <c r="H10" s="45" t="s">
        <v>27</v>
      </c>
      <c r="I10" s="45" t="s">
        <v>152</v>
      </c>
      <c r="J10" s="45" t="s">
        <v>152</v>
      </c>
      <c r="K10" s="45" t="s">
        <v>27</v>
      </c>
      <c r="AF10" s="337"/>
      <c r="AG10" s="338"/>
    </row>
    <row r="11" spans="1:44">
      <c r="A11" s="92"/>
      <c r="B11" s="92"/>
      <c r="C11" s="93"/>
      <c r="D11" s="93"/>
      <c r="E11" s="93" t="s">
        <v>28</v>
      </c>
      <c r="F11" s="46" t="s">
        <v>29</v>
      </c>
      <c r="G11" s="46" t="s">
        <v>30</v>
      </c>
      <c r="H11" s="46" t="s">
        <v>31</v>
      </c>
      <c r="I11" s="46" t="s">
        <v>32</v>
      </c>
      <c r="J11" s="46" t="s">
        <v>33</v>
      </c>
      <c r="K11" s="46" t="s">
        <v>539</v>
      </c>
      <c r="AF11" s="337"/>
      <c r="AG11" s="338"/>
    </row>
    <row r="12" spans="1:44" ht="3.75" customHeight="1">
      <c r="A12" s="92"/>
      <c r="B12" s="92"/>
      <c r="C12" s="93"/>
      <c r="D12" s="93"/>
      <c r="E12" s="93"/>
      <c r="F12" s="46"/>
      <c r="G12" s="46"/>
      <c r="H12" s="46"/>
      <c r="I12" s="46"/>
      <c r="J12" s="46"/>
      <c r="K12" s="46"/>
      <c r="AF12" s="337"/>
      <c r="AG12" s="338"/>
    </row>
    <row r="13" spans="1:44" ht="5.25" customHeight="1">
      <c r="A13" s="92"/>
      <c r="B13" s="92"/>
      <c r="C13" s="93"/>
      <c r="D13" s="93"/>
      <c r="E13" s="93"/>
      <c r="F13" s="46"/>
      <c r="G13" s="46"/>
      <c r="H13" s="46"/>
      <c r="I13" s="46"/>
      <c r="J13" s="46"/>
      <c r="K13" s="46"/>
      <c r="AF13" s="337"/>
      <c r="AG13" s="338"/>
    </row>
    <row r="14" spans="1:44">
      <c r="A14" s="154"/>
      <c r="B14" s="1" t="s">
        <v>34</v>
      </c>
      <c r="C14" s="1"/>
      <c r="D14" s="1"/>
      <c r="E14" s="1"/>
      <c r="F14" s="65"/>
      <c r="G14" s="65"/>
      <c r="K14" s="150"/>
      <c r="AF14" s="337"/>
      <c r="AG14" s="338"/>
    </row>
    <row r="15" spans="1:44">
      <c r="A15" s="154">
        <v>1</v>
      </c>
      <c r="B15" s="3"/>
      <c r="C15" s="3" t="s">
        <v>35</v>
      </c>
      <c r="D15" s="3"/>
      <c r="E15" s="3"/>
      <c r="F15" s="66">
        <f>ROO!H15</f>
        <v>85935.025193561756</v>
      </c>
      <c r="G15" s="66">
        <f>H15-F15</f>
        <v>-85935.025193561756</v>
      </c>
      <c r="H15" s="66">
        <f>'ADJ DETAIL INPUT'!BJ14</f>
        <v>0</v>
      </c>
      <c r="I15" s="429">
        <f>CF!J12</f>
        <v>2143</v>
      </c>
      <c r="J15" s="429">
        <f>CF!K12</f>
        <v>2143.4262204621168</v>
      </c>
      <c r="K15" s="66">
        <f>H15+I15+J15</f>
        <v>4286.4262204621173</v>
      </c>
      <c r="AF15" s="337"/>
      <c r="AG15" s="338"/>
    </row>
    <row r="16" spans="1:44">
      <c r="A16" s="154">
        <v>2</v>
      </c>
      <c r="B16" s="1"/>
      <c r="C16" s="4" t="s">
        <v>36</v>
      </c>
      <c r="D16" s="4"/>
      <c r="E16" s="4"/>
      <c r="F16" s="281">
        <f>ROO!H16</f>
        <v>4417.1391553463873</v>
      </c>
      <c r="G16" s="281">
        <f>H16-F16</f>
        <v>-4417.1391553463873</v>
      </c>
      <c r="H16" s="66">
        <f>'ADJ DETAIL INPUT'!BJ15</f>
        <v>0</v>
      </c>
      <c r="I16" s="281"/>
      <c r="J16" s="281"/>
      <c r="K16" s="98">
        <f>H16+I16+J16</f>
        <v>0</v>
      </c>
      <c r="AF16" s="337"/>
      <c r="AG16" s="338"/>
    </row>
    <row r="17" spans="1:33">
      <c r="A17" s="154">
        <v>3</v>
      </c>
      <c r="B17" s="1"/>
      <c r="C17" s="4" t="s">
        <v>37</v>
      </c>
      <c r="D17" s="4"/>
      <c r="E17" s="4"/>
      <c r="F17" s="283">
        <f>ROO!H17</f>
        <v>265.41666666666663</v>
      </c>
      <c r="G17" s="283">
        <f>H17-F17</f>
        <v>-265.41666666666663</v>
      </c>
      <c r="H17" s="455">
        <f>'ADJ DETAIL INPUT'!BJ16</f>
        <v>0</v>
      </c>
      <c r="I17" s="283"/>
      <c r="J17" s="283"/>
      <c r="K17" s="590">
        <f>H17+I17+J17</f>
        <v>0</v>
      </c>
      <c r="AF17" s="337"/>
      <c r="AG17" s="338"/>
    </row>
    <row r="18" spans="1:33">
      <c r="A18" s="154">
        <v>4</v>
      </c>
      <c r="B18" s="1" t="s">
        <v>38</v>
      </c>
      <c r="C18" s="4"/>
      <c r="D18" s="4"/>
      <c r="E18" s="4"/>
      <c r="F18" s="281">
        <f>SUM(F15:F17)</f>
        <v>90617.581015574819</v>
      </c>
      <c r="G18" s="281">
        <f t="shared" ref="G18:K18" si="0">SUM(G15:G17)</f>
        <v>-90617.581015574819</v>
      </c>
      <c r="H18" s="281">
        <f t="shared" si="0"/>
        <v>0</v>
      </c>
      <c r="I18" s="281">
        <f t="shared" si="0"/>
        <v>2143</v>
      </c>
      <c r="J18" s="281">
        <f t="shared" ref="J18" si="1">SUM(J15:J17)</f>
        <v>2143.4262204621168</v>
      </c>
      <c r="K18" s="281">
        <f t="shared" si="0"/>
        <v>4286.4262204621173</v>
      </c>
      <c r="AF18" s="337"/>
      <c r="AG18" s="338"/>
    </row>
    <row r="19" spans="1:33">
      <c r="A19" s="154"/>
      <c r="B19" s="1"/>
      <c r="C19" s="4"/>
      <c r="D19" s="4"/>
      <c r="E19" s="4"/>
      <c r="F19" s="281"/>
      <c r="G19" s="281"/>
      <c r="H19" s="281"/>
      <c r="I19" s="281"/>
      <c r="J19" s="281"/>
      <c r="K19" s="281"/>
      <c r="AF19" s="337"/>
      <c r="AG19" s="338"/>
    </row>
    <row r="20" spans="1:33">
      <c r="A20" s="154"/>
      <c r="B20" s="1" t="s">
        <v>39</v>
      </c>
      <c r="C20" s="4"/>
      <c r="D20" s="4"/>
      <c r="E20" s="4"/>
      <c r="F20" s="281"/>
      <c r="G20" s="281"/>
      <c r="H20" s="281"/>
      <c r="I20" s="281"/>
      <c r="J20" s="281"/>
      <c r="K20" s="281"/>
      <c r="AF20" s="337"/>
      <c r="AG20" s="338"/>
    </row>
    <row r="21" spans="1:33">
      <c r="A21" s="154"/>
      <c r="B21" s="1"/>
      <c r="C21" s="4" t="s">
        <v>249</v>
      </c>
      <c r="D21" s="4"/>
      <c r="E21" s="4"/>
      <c r="F21" s="281"/>
      <c r="G21" s="281"/>
      <c r="H21" s="281"/>
      <c r="I21" s="281"/>
      <c r="J21" s="281"/>
      <c r="K21" s="281"/>
      <c r="AF21" s="337"/>
      <c r="AG21" s="338"/>
    </row>
    <row r="22" spans="1:33">
      <c r="A22" s="154">
        <v>5</v>
      </c>
      <c r="B22" s="1"/>
      <c r="C22" s="4"/>
      <c r="D22" s="4" t="s">
        <v>40</v>
      </c>
      <c r="E22" s="4"/>
      <c r="F22" s="281">
        <f>ROO!H22</f>
        <v>0</v>
      </c>
      <c r="G22" s="281">
        <f>H22-F22</f>
        <v>0</v>
      </c>
      <c r="H22" s="282">
        <f>'ADJ DETAIL INPUT'!BJ21</f>
        <v>0</v>
      </c>
      <c r="I22" s="281"/>
      <c r="J22" s="281"/>
      <c r="K22" s="98">
        <f t="shared" ref="K22:K24" si="2">H22+I22+J22</f>
        <v>0</v>
      </c>
      <c r="AF22" s="337"/>
      <c r="AG22" s="338"/>
    </row>
    <row r="23" spans="1:33">
      <c r="A23" s="154">
        <v>6</v>
      </c>
      <c r="B23" s="1"/>
      <c r="C23" s="4"/>
      <c r="D23" s="4" t="s">
        <v>41</v>
      </c>
      <c r="E23" s="4"/>
      <c r="F23" s="281">
        <f>ROO!H23</f>
        <v>906.4599601758523</v>
      </c>
      <c r="G23" s="281">
        <f>H23-F23</f>
        <v>-906.4599601758523</v>
      </c>
      <c r="H23" s="282">
        <f>'ADJ DETAIL INPUT'!BJ22</f>
        <v>0</v>
      </c>
      <c r="I23" s="281"/>
      <c r="J23" s="281"/>
      <c r="K23" s="98">
        <f t="shared" si="2"/>
        <v>0</v>
      </c>
      <c r="AF23" s="337"/>
      <c r="AG23" s="338"/>
    </row>
    <row r="24" spans="1:33">
      <c r="A24" s="154">
        <v>7</v>
      </c>
      <c r="B24" s="1"/>
      <c r="C24" s="4"/>
      <c r="D24" s="4" t="s">
        <v>42</v>
      </c>
      <c r="E24" s="4"/>
      <c r="F24" s="283">
        <f>ROO!H24</f>
        <v>0</v>
      </c>
      <c r="G24" s="283">
        <f>H24-F24</f>
        <v>0</v>
      </c>
      <c r="H24" s="284">
        <f>'ADJ DETAIL INPUT'!BJ23</f>
        <v>0</v>
      </c>
      <c r="I24" s="283"/>
      <c r="J24" s="283"/>
      <c r="K24" s="590">
        <f t="shared" si="2"/>
        <v>0</v>
      </c>
      <c r="AF24" s="337"/>
      <c r="AG24" s="338"/>
    </row>
    <row r="25" spans="1:33">
      <c r="A25" s="154">
        <v>8</v>
      </c>
      <c r="B25" s="1"/>
      <c r="C25" s="4"/>
      <c r="D25" s="4"/>
      <c r="E25" s="4" t="s">
        <v>43</v>
      </c>
      <c r="F25" s="281">
        <f>ROO!H25</f>
        <v>906.4599601758523</v>
      </c>
      <c r="G25" s="281">
        <f t="shared" ref="G25:K25" si="3">SUM(G22:G24)</f>
        <v>-906.4599601758523</v>
      </c>
      <c r="H25" s="281">
        <f t="shared" si="3"/>
        <v>0</v>
      </c>
      <c r="I25" s="281">
        <f t="shared" si="3"/>
        <v>0</v>
      </c>
      <c r="J25" s="281">
        <f t="shared" ref="J25" si="4">SUM(J22:J24)</f>
        <v>0</v>
      </c>
      <c r="K25" s="281">
        <f t="shared" si="3"/>
        <v>0</v>
      </c>
      <c r="AF25" s="337"/>
      <c r="AG25" s="338"/>
    </row>
    <row r="26" spans="1:33">
      <c r="A26" s="154"/>
      <c r="B26" s="1"/>
      <c r="C26" s="4"/>
      <c r="D26" s="4"/>
      <c r="E26" s="4"/>
      <c r="F26" s="281"/>
      <c r="G26" s="281"/>
      <c r="H26" s="282"/>
      <c r="I26" s="281"/>
      <c r="J26" s="281"/>
      <c r="K26" s="281"/>
      <c r="AF26" s="337"/>
      <c r="AG26" s="338"/>
    </row>
    <row r="27" spans="1:33">
      <c r="A27" s="154"/>
      <c r="B27" s="1"/>
      <c r="C27" s="4" t="s">
        <v>44</v>
      </c>
      <c r="D27" s="4"/>
      <c r="E27" s="4"/>
      <c r="F27" s="281"/>
      <c r="G27" s="281"/>
      <c r="H27" s="281"/>
      <c r="I27" s="281"/>
      <c r="J27" s="281"/>
      <c r="K27" s="281"/>
      <c r="AF27" s="337"/>
      <c r="AG27" s="338"/>
    </row>
    <row r="28" spans="1:33">
      <c r="A28" s="154">
        <v>9</v>
      </c>
      <c r="B28" s="1"/>
      <c r="C28" s="4"/>
      <c r="D28" s="4" t="s">
        <v>45</v>
      </c>
      <c r="E28" s="4"/>
      <c r="F28" s="281">
        <f>ROO!H28</f>
        <v>923.70533397230133</v>
      </c>
      <c r="G28" s="281">
        <f>H28-F28</f>
        <v>-923.70533397230133</v>
      </c>
      <c r="H28" s="282">
        <f>'ADJ DETAIL INPUT'!BJ27</f>
        <v>0</v>
      </c>
      <c r="I28" s="281"/>
      <c r="J28" s="281"/>
      <c r="K28" s="98">
        <f t="shared" ref="K28:K30" si="5">H28+I28+J28</f>
        <v>0</v>
      </c>
      <c r="AF28" s="337"/>
      <c r="AG28" s="338"/>
    </row>
    <row r="29" spans="1:33">
      <c r="A29" s="154">
        <v>10</v>
      </c>
      <c r="B29" s="1"/>
      <c r="C29" s="4"/>
      <c r="D29" s="4" t="s">
        <v>46</v>
      </c>
      <c r="E29" s="4"/>
      <c r="F29" s="281">
        <f>ROO!H29</f>
        <v>470.93333333333334</v>
      </c>
      <c r="G29" s="281">
        <f>H29-F29</f>
        <v>-470.93333333333334</v>
      </c>
      <c r="H29" s="282">
        <f>'ADJ DETAIL INPUT'!BJ28</f>
        <v>0</v>
      </c>
      <c r="I29" s="281"/>
      <c r="J29" s="281"/>
      <c r="K29" s="98">
        <f t="shared" si="5"/>
        <v>0</v>
      </c>
      <c r="AF29" s="337"/>
      <c r="AG29" s="338"/>
    </row>
    <row r="30" spans="1:33">
      <c r="A30" s="320">
        <v>11</v>
      </c>
      <c r="B30" s="1"/>
      <c r="C30" s="4"/>
      <c r="D30" s="4" t="s">
        <v>22</v>
      </c>
      <c r="E30" s="4"/>
      <c r="F30" s="281">
        <f>ROO!H30</f>
        <v>218.84607719550993</v>
      </c>
      <c r="G30" s="283">
        <f>H30-F30</f>
        <v>-218.84607719550993</v>
      </c>
      <c r="H30" s="284">
        <f>'ADJ DETAIL INPUT'!BJ29</f>
        <v>0</v>
      </c>
      <c r="I30" s="283"/>
      <c r="J30" s="283"/>
      <c r="K30" s="590">
        <f t="shared" si="5"/>
        <v>0</v>
      </c>
      <c r="AF30" s="337"/>
      <c r="AG30" s="338"/>
    </row>
    <row r="31" spans="1:33">
      <c r="A31" s="154">
        <v>12</v>
      </c>
      <c r="B31" s="1"/>
      <c r="C31" s="4"/>
      <c r="D31" s="4"/>
      <c r="E31" s="4" t="s">
        <v>47</v>
      </c>
      <c r="F31" s="281">
        <f t="shared" ref="F31:K31" si="6">SUM(F28:F30)</f>
        <v>1613.4847445011446</v>
      </c>
      <c r="G31" s="281">
        <f t="shared" si="6"/>
        <v>-1613.4847445011446</v>
      </c>
      <c r="H31" s="281">
        <f t="shared" si="6"/>
        <v>0</v>
      </c>
      <c r="I31" s="281">
        <f t="shared" si="6"/>
        <v>0</v>
      </c>
      <c r="J31" s="281">
        <f t="shared" si="6"/>
        <v>0</v>
      </c>
      <c r="K31" s="281">
        <f t="shared" si="6"/>
        <v>0</v>
      </c>
      <c r="AF31" s="337"/>
      <c r="AG31" s="338"/>
    </row>
    <row r="32" spans="1:33">
      <c r="A32" s="154"/>
      <c r="B32" s="1"/>
      <c r="C32" s="4"/>
      <c r="D32" s="4"/>
      <c r="E32" s="4"/>
      <c r="F32" s="281"/>
      <c r="G32" s="281"/>
      <c r="H32" s="282"/>
      <c r="I32" s="281"/>
      <c r="J32" s="281"/>
      <c r="K32" s="281"/>
      <c r="AF32" s="337"/>
      <c r="AG32" s="338"/>
    </row>
    <row r="33" spans="1:33">
      <c r="A33" s="154"/>
      <c r="B33" s="1"/>
      <c r="C33" s="4" t="s">
        <v>48</v>
      </c>
      <c r="D33" s="4"/>
      <c r="E33" s="4"/>
      <c r="F33" s="281"/>
      <c r="G33" s="281"/>
      <c r="H33" s="281"/>
      <c r="I33" s="281"/>
      <c r="J33" s="281"/>
      <c r="K33" s="281"/>
      <c r="AF33" s="337"/>
      <c r="AG33" s="338"/>
    </row>
    <row r="34" spans="1:33">
      <c r="A34" s="154">
        <v>13</v>
      </c>
      <c r="B34" s="1"/>
      <c r="C34" s="4"/>
      <c r="D34" s="4" t="s">
        <v>45</v>
      </c>
      <c r="E34" s="4"/>
      <c r="F34" s="281">
        <f>ROO!H34</f>
        <v>13273.548643954364</v>
      </c>
      <c r="G34" s="281">
        <f>H34-F34</f>
        <v>-13273.548643954364</v>
      </c>
      <c r="H34" s="282">
        <f>'ADJ DETAIL INPUT'!BJ33</f>
        <v>0</v>
      </c>
      <c r="I34" s="281"/>
      <c r="J34" s="281"/>
      <c r="K34" s="98">
        <f t="shared" ref="K34:K36" si="7">H34+I34+J34</f>
        <v>0</v>
      </c>
      <c r="AF34" s="337"/>
      <c r="AG34" s="338"/>
    </row>
    <row r="35" spans="1:33">
      <c r="A35" s="154">
        <v>14</v>
      </c>
      <c r="B35" s="1"/>
      <c r="C35" s="4"/>
      <c r="D35" s="4" t="s">
        <v>46</v>
      </c>
      <c r="E35" s="4"/>
      <c r="F35" s="281">
        <f>ROO!H35</f>
        <v>9980.8333333333321</v>
      </c>
      <c r="G35" s="281">
        <f>H35-F35</f>
        <v>-9980.8333333333321</v>
      </c>
      <c r="H35" s="282">
        <f>'ADJ DETAIL INPUT'!BJ34</f>
        <v>0</v>
      </c>
      <c r="I35" s="281"/>
      <c r="J35" s="281"/>
      <c r="K35" s="98">
        <f t="shared" si="7"/>
        <v>0</v>
      </c>
      <c r="AF35" s="337"/>
      <c r="AG35" s="338"/>
    </row>
    <row r="36" spans="1:33">
      <c r="A36" s="154">
        <v>15</v>
      </c>
      <c r="B36" s="1"/>
      <c r="C36" s="4"/>
      <c r="D36" s="4" t="s">
        <v>22</v>
      </c>
      <c r="E36" s="4"/>
      <c r="F36" s="281">
        <f>ROO!H36</f>
        <v>6827.1977909838524</v>
      </c>
      <c r="G36" s="283">
        <f>H36-F36</f>
        <v>-6827.1977909838524</v>
      </c>
      <c r="H36" s="284">
        <f>'ADJ DETAIL INPUT'!BJ35</f>
        <v>0</v>
      </c>
      <c r="I36" s="283">
        <f>CF!J19</f>
        <v>82</v>
      </c>
      <c r="J36" s="283">
        <f>CF!K19</f>
        <v>82</v>
      </c>
      <c r="K36" s="590">
        <f t="shared" si="7"/>
        <v>164</v>
      </c>
      <c r="AF36" s="337"/>
      <c r="AG36" s="338"/>
    </row>
    <row r="37" spans="1:33">
      <c r="A37" s="154">
        <v>16</v>
      </c>
      <c r="B37" s="1"/>
      <c r="C37" s="4"/>
      <c r="D37" s="4"/>
      <c r="E37" s="4" t="s">
        <v>49</v>
      </c>
      <c r="F37" s="281">
        <f>SUM(F34:F36)</f>
        <v>30081.579768271549</v>
      </c>
      <c r="G37" s="281">
        <f t="shared" ref="G37:K37" si="8">SUM(G34:G36)</f>
        <v>-30081.579768271549</v>
      </c>
      <c r="H37" s="281">
        <f t="shared" si="8"/>
        <v>0</v>
      </c>
      <c r="I37" s="281">
        <f t="shared" si="8"/>
        <v>82</v>
      </c>
      <c r="J37" s="281">
        <f t="shared" ref="J37" si="9">SUM(J34:J36)</f>
        <v>82</v>
      </c>
      <c r="K37" s="281">
        <f t="shared" si="8"/>
        <v>164</v>
      </c>
      <c r="AF37" s="337"/>
      <c r="AG37" s="338"/>
    </row>
    <row r="38" spans="1:33">
      <c r="A38" s="154"/>
      <c r="B38" s="1"/>
      <c r="C38" s="4"/>
      <c r="D38" s="4"/>
      <c r="E38" s="4"/>
      <c r="F38" s="281"/>
      <c r="G38" s="281"/>
      <c r="H38" s="281"/>
      <c r="I38" s="281"/>
      <c r="J38" s="281"/>
      <c r="K38" s="281"/>
      <c r="AF38" s="337"/>
      <c r="AG38" s="338"/>
    </row>
    <row r="39" spans="1:33">
      <c r="A39" s="154">
        <v>17</v>
      </c>
      <c r="B39" s="1" t="s">
        <v>50</v>
      </c>
      <c r="C39" s="4"/>
      <c r="D39" s="4"/>
      <c r="E39" s="4"/>
      <c r="F39" s="281">
        <f>ROO!H39</f>
        <v>6685.8818233634975</v>
      </c>
      <c r="G39" s="281">
        <f>H39-F39</f>
        <v>-6685.8818233634975</v>
      </c>
      <c r="H39" s="282">
        <f>'ADJ DETAIL INPUT'!BJ38</f>
        <v>0</v>
      </c>
      <c r="I39" s="281">
        <f>CF!J15</f>
        <v>13</v>
      </c>
      <c r="J39" s="281">
        <f>CF!K15</f>
        <v>13</v>
      </c>
      <c r="K39" s="98">
        <f t="shared" ref="K39:K41" si="10">H39+I39+J39</f>
        <v>26</v>
      </c>
      <c r="AF39" s="337"/>
      <c r="AG39" s="338"/>
    </row>
    <row r="40" spans="1:33">
      <c r="A40" s="154">
        <v>18</v>
      </c>
      <c r="B40" s="1" t="s">
        <v>51</v>
      </c>
      <c r="C40" s="4"/>
      <c r="D40" s="4"/>
      <c r="E40" s="4"/>
      <c r="F40" s="281">
        <f>ROO!H40</f>
        <v>902.14861672673999</v>
      </c>
      <c r="G40" s="281">
        <f>H40-F40</f>
        <v>-902.14861672673999</v>
      </c>
      <c r="H40" s="282">
        <f>'ADJ DETAIL INPUT'!BJ39</f>
        <v>0</v>
      </c>
      <c r="I40" s="281"/>
      <c r="J40" s="281"/>
      <c r="K40" s="98">
        <f t="shared" si="10"/>
        <v>0</v>
      </c>
      <c r="AF40" s="337"/>
      <c r="AG40" s="338"/>
    </row>
    <row r="41" spans="1:33">
      <c r="A41" s="154">
        <v>19</v>
      </c>
      <c r="B41" s="1" t="s">
        <v>52</v>
      </c>
      <c r="C41" s="4"/>
      <c r="D41" s="4"/>
      <c r="E41" s="4"/>
      <c r="F41" s="281">
        <f>'ADJ DETAIL INPUT'!E40</f>
        <v>0</v>
      </c>
      <c r="G41" s="281">
        <f>H41-F41</f>
        <v>0</v>
      </c>
      <c r="H41" s="286">
        <f>'ADJ DETAIL INPUT'!BJ40</f>
        <v>0</v>
      </c>
      <c r="I41" s="281"/>
      <c r="J41" s="281"/>
      <c r="K41" s="98">
        <f t="shared" si="10"/>
        <v>0</v>
      </c>
      <c r="AF41" s="337"/>
      <c r="AG41" s="338"/>
    </row>
    <row r="42" spans="1:33">
      <c r="A42" s="154"/>
      <c r="B42" s="1"/>
      <c r="C42" s="4"/>
      <c r="D42" s="4"/>
      <c r="E42" s="4"/>
      <c r="F42" s="281"/>
      <c r="G42" s="281"/>
      <c r="H42" s="286"/>
      <c r="I42" s="281"/>
      <c r="J42" s="281"/>
      <c r="K42" s="281"/>
      <c r="AF42" s="337"/>
      <c r="AG42" s="338"/>
    </row>
    <row r="43" spans="1:33">
      <c r="A43" s="154"/>
      <c r="B43" s="1" t="s">
        <v>53</v>
      </c>
      <c r="C43" s="4"/>
      <c r="D43" s="4"/>
      <c r="E43" s="4"/>
      <c r="F43" s="281"/>
      <c r="G43" s="281"/>
      <c r="H43" s="281"/>
      <c r="I43" s="281"/>
      <c r="J43" s="281"/>
      <c r="K43" s="281"/>
      <c r="AF43" s="337"/>
      <c r="AG43" s="338"/>
    </row>
    <row r="44" spans="1:33">
      <c r="A44" s="154">
        <v>20</v>
      </c>
      <c r="B44" s="1"/>
      <c r="C44" s="4" t="s">
        <v>45</v>
      </c>
      <c r="D44" s="4"/>
      <c r="E44" s="4"/>
      <c r="F44" s="281">
        <f>ROO!H44</f>
        <v>14766.617805622649</v>
      </c>
      <c r="G44" s="281">
        <f>H44-F44</f>
        <v>-14766.617805622649</v>
      </c>
      <c r="H44" s="282">
        <f>'ADJ DETAIL INPUT'!BJ43</f>
        <v>0</v>
      </c>
      <c r="I44" s="281">
        <f>CF!J17</f>
        <v>4</v>
      </c>
      <c r="J44" s="281">
        <f>CF!K17</f>
        <v>4</v>
      </c>
      <c r="K44" s="98">
        <f t="shared" ref="K44:K47" si="11">H44+I44+J44</f>
        <v>8</v>
      </c>
      <c r="AF44" s="337"/>
      <c r="AG44" s="338"/>
    </row>
    <row r="45" spans="1:33">
      <c r="A45" s="154">
        <v>21</v>
      </c>
      <c r="B45" s="1"/>
      <c r="C45" s="4" t="s">
        <v>208</v>
      </c>
      <c r="D45" s="4"/>
      <c r="E45" s="4"/>
      <c r="F45" s="281">
        <f>ROO!H45</f>
        <v>6614.4666666666662</v>
      </c>
      <c r="G45" s="281">
        <f>H45-F45</f>
        <v>-6614.4666666666662</v>
      </c>
      <c r="H45" s="282">
        <f>'ADJ DETAIL INPUT'!BJ44</f>
        <v>0</v>
      </c>
      <c r="I45" s="281"/>
      <c r="J45" s="281"/>
      <c r="K45" s="98">
        <f t="shared" si="11"/>
        <v>0</v>
      </c>
      <c r="AF45" s="337"/>
      <c r="AG45" s="338"/>
    </row>
    <row r="46" spans="1:33">
      <c r="A46" s="154">
        <v>22</v>
      </c>
      <c r="B46" s="1"/>
      <c r="C46" s="9" t="s">
        <v>425</v>
      </c>
      <c r="D46" s="4"/>
      <c r="E46" s="4"/>
      <c r="F46" s="281">
        <f>ROO!H46</f>
        <v>809</v>
      </c>
      <c r="G46" s="281">
        <f>H46-F46</f>
        <v>-809</v>
      </c>
      <c r="H46" s="282">
        <f>'ADJ DETAIL INPUT'!BJ45</f>
        <v>0</v>
      </c>
      <c r="I46" s="281"/>
      <c r="J46" s="281"/>
      <c r="K46" s="98">
        <f t="shared" si="11"/>
        <v>0</v>
      </c>
      <c r="AF46" s="337"/>
      <c r="AG46" s="338"/>
    </row>
    <row r="47" spans="1:33">
      <c r="A47" s="154">
        <v>23</v>
      </c>
      <c r="B47" s="1"/>
      <c r="C47" s="4" t="s">
        <v>22</v>
      </c>
      <c r="D47" s="4"/>
      <c r="E47" s="4"/>
      <c r="F47" s="281">
        <f>ROO!H47</f>
        <v>0</v>
      </c>
      <c r="G47" s="283">
        <f>H47-F47</f>
        <v>0</v>
      </c>
      <c r="H47" s="284">
        <f>'ADJ DETAIL INPUT'!BJ46</f>
        <v>0</v>
      </c>
      <c r="I47" s="283"/>
      <c r="J47" s="283"/>
      <c r="K47" s="98">
        <f t="shared" si="11"/>
        <v>0</v>
      </c>
      <c r="AF47" s="337"/>
      <c r="AG47" s="338"/>
    </row>
    <row r="48" spans="1:33">
      <c r="A48" s="154">
        <v>24</v>
      </c>
      <c r="B48" s="1"/>
      <c r="C48" s="4"/>
      <c r="D48" s="4" t="s">
        <v>54</v>
      </c>
      <c r="E48" s="492"/>
      <c r="F48" s="287">
        <f>SUM(F44:F47)</f>
        <v>22190.084472289316</v>
      </c>
      <c r="G48" s="287">
        <f t="shared" ref="G48:K48" si="12">SUM(G44:G47)</f>
        <v>-22190.084472289316</v>
      </c>
      <c r="H48" s="287">
        <f t="shared" si="12"/>
        <v>0</v>
      </c>
      <c r="I48" s="287">
        <f t="shared" si="12"/>
        <v>4</v>
      </c>
      <c r="J48" s="287">
        <f t="shared" ref="J48" si="13">SUM(J44:J47)</f>
        <v>4</v>
      </c>
      <c r="K48" s="287">
        <f t="shared" si="12"/>
        <v>8</v>
      </c>
      <c r="AF48" s="337"/>
      <c r="AG48" s="338"/>
    </row>
    <row r="49" spans="1:33">
      <c r="A49" s="154">
        <v>25</v>
      </c>
      <c r="B49" s="1" t="s">
        <v>55</v>
      </c>
      <c r="C49" s="4"/>
      <c r="D49" s="4"/>
      <c r="E49" s="4"/>
      <c r="F49" s="283">
        <f t="shared" ref="F49:K49" si="14">F48+F37+F31+F25+F39+F40+F41</f>
        <v>62379.639385328104</v>
      </c>
      <c r="G49" s="283">
        <f t="shared" si="14"/>
        <v>-62379.639385328104</v>
      </c>
      <c r="H49" s="283">
        <f t="shared" si="14"/>
        <v>0</v>
      </c>
      <c r="I49" s="283">
        <f t="shared" si="14"/>
        <v>99</v>
      </c>
      <c r="J49" s="283">
        <f t="shared" si="14"/>
        <v>99</v>
      </c>
      <c r="K49" s="283">
        <f t="shared" si="14"/>
        <v>198</v>
      </c>
      <c r="AF49" s="337"/>
      <c r="AG49" s="338"/>
    </row>
    <row r="50" spans="1:33">
      <c r="A50" s="154"/>
      <c r="B50" s="1"/>
      <c r="C50" s="4"/>
      <c r="D50" s="4"/>
      <c r="E50" s="4"/>
      <c r="F50" s="281"/>
      <c r="G50" s="281"/>
      <c r="H50" s="281"/>
      <c r="I50" s="281"/>
      <c r="J50" s="281"/>
      <c r="K50" s="281"/>
      <c r="AF50" s="337"/>
      <c r="AG50" s="338"/>
    </row>
    <row r="51" spans="1:33">
      <c r="A51" s="154">
        <v>26</v>
      </c>
      <c r="B51" s="1" t="s">
        <v>56</v>
      </c>
      <c r="C51" s="4"/>
      <c r="D51" s="4"/>
      <c r="E51" s="4"/>
      <c r="F51" s="281">
        <f t="shared" ref="F51:K51" si="15">F18-F49</f>
        <v>28237.941630246714</v>
      </c>
      <c r="G51" s="281">
        <f t="shared" si="15"/>
        <v>-28237.941630246714</v>
      </c>
      <c r="H51" s="281">
        <f t="shared" si="15"/>
        <v>0</v>
      </c>
      <c r="I51" s="281">
        <f t="shared" si="15"/>
        <v>2044</v>
      </c>
      <c r="J51" s="281">
        <f t="shared" si="15"/>
        <v>2044.4262204621168</v>
      </c>
      <c r="K51" s="281">
        <f t="shared" si="15"/>
        <v>4088.4262204621173</v>
      </c>
      <c r="AF51" s="337"/>
      <c r="AG51" s="338"/>
    </row>
    <row r="52" spans="1:33">
      <c r="A52" s="154"/>
      <c r="B52" s="1"/>
      <c r="C52" s="4"/>
      <c r="D52" s="4"/>
      <c r="E52" s="4"/>
      <c r="F52" s="281"/>
      <c r="G52" s="281"/>
      <c r="H52" s="281"/>
      <c r="I52" s="281"/>
      <c r="J52" s="281"/>
      <c r="K52" s="281"/>
      <c r="AF52" s="337"/>
      <c r="AG52" s="338"/>
    </row>
    <row r="53" spans="1:33">
      <c r="A53" s="154"/>
      <c r="B53" s="1" t="s">
        <v>57</v>
      </c>
      <c r="C53" s="4"/>
      <c r="D53" s="4"/>
      <c r="E53" s="4"/>
      <c r="F53" s="281"/>
      <c r="G53" s="281"/>
      <c r="H53" s="281"/>
      <c r="I53" s="281"/>
      <c r="J53" s="281"/>
      <c r="K53" s="281"/>
      <c r="O53" s="415"/>
      <c r="AF53" s="337"/>
      <c r="AG53" s="338"/>
    </row>
    <row r="54" spans="1:33">
      <c r="A54" s="154">
        <v>27</v>
      </c>
      <c r="B54" s="1"/>
      <c r="C54" s="4" t="s">
        <v>58</v>
      </c>
      <c r="D54" s="4"/>
      <c r="E54" s="4"/>
      <c r="F54" s="281">
        <f>ROO!H54</f>
        <v>349.82957058634929</v>
      </c>
      <c r="G54" s="281">
        <f>H54-F54</f>
        <v>-349.82957058634929</v>
      </c>
      <c r="H54" s="282">
        <f>'ADJ DETAIL INPUT'!BJ53</f>
        <v>0</v>
      </c>
      <c r="I54" s="281">
        <f>CF!J25</f>
        <v>715</v>
      </c>
      <c r="J54" s="281">
        <f>CF!K25</f>
        <v>716</v>
      </c>
      <c r="K54" s="98">
        <f t="shared" ref="K54:K57" si="16">H54+I54+J54</f>
        <v>1431</v>
      </c>
      <c r="O54" s="105"/>
      <c r="R54" s="105"/>
      <c r="AF54" s="337"/>
      <c r="AG54" s="338"/>
    </row>
    <row r="55" spans="1:33">
      <c r="A55" s="154">
        <v>28</v>
      </c>
      <c r="B55" s="1"/>
      <c r="C55" s="194" t="s">
        <v>189</v>
      </c>
      <c r="D55" s="4"/>
      <c r="E55" s="4"/>
      <c r="F55" s="281">
        <f>ROO!H55</f>
        <v>-364.0596304848483</v>
      </c>
      <c r="G55" s="281">
        <f>H55-F55</f>
        <v>364.0596304848483</v>
      </c>
      <c r="H55" s="282">
        <f>'ADJ DETAIL INPUT'!BJ54</f>
        <v>0</v>
      </c>
      <c r="I55" s="281">
        <f>CF!J26</f>
        <v>0</v>
      </c>
      <c r="J55" s="281">
        <f>CF!K26</f>
        <v>0</v>
      </c>
      <c r="K55" s="98">
        <f t="shared" si="16"/>
        <v>0</v>
      </c>
      <c r="O55" s="415"/>
      <c r="AF55" s="337"/>
      <c r="AG55" s="338"/>
    </row>
    <row r="56" spans="1:33">
      <c r="A56" s="154">
        <v>29</v>
      </c>
      <c r="B56" s="1"/>
      <c r="C56" s="4" t="s">
        <v>59</v>
      </c>
      <c r="D56" s="4"/>
      <c r="E56" s="4"/>
      <c r="F56" s="281">
        <f>ROO!H56</f>
        <v>7838</v>
      </c>
      <c r="G56" s="281">
        <f>H56-F56</f>
        <v>-7838</v>
      </c>
      <c r="H56" s="282">
        <f>'ADJ DETAIL INPUT'!BJ55</f>
        <v>0</v>
      </c>
      <c r="I56" s="281"/>
      <c r="J56" s="281"/>
      <c r="K56" s="98">
        <f t="shared" si="16"/>
        <v>0</v>
      </c>
      <c r="AF56" s="337"/>
      <c r="AG56" s="338"/>
    </row>
    <row r="57" spans="1:33">
      <c r="A57" s="154">
        <v>30</v>
      </c>
      <c r="B57" s="1"/>
      <c r="C57" s="4" t="s">
        <v>60</v>
      </c>
      <c r="D57" s="4"/>
      <c r="E57" s="4"/>
      <c r="F57" s="283">
        <f>ROO!H57</f>
        <v>-20</v>
      </c>
      <c r="G57" s="283">
        <f>H57-F57</f>
        <v>20</v>
      </c>
      <c r="H57" s="284">
        <f>'ADJ DETAIL INPUT'!BJ56</f>
        <v>0</v>
      </c>
      <c r="I57" s="283"/>
      <c r="J57" s="283"/>
      <c r="K57" s="590">
        <f t="shared" si="16"/>
        <v>0</v>
      </c>
      <c r="O57" s="495"/>
      <c r="AF57" s="337"/>
      <c r="AG57" s="338"/>
    </row>
    <row r="58" spans="1:33">
      <c r="A58" s="154"/>
      <c r="B58" s="1"/>
      <c r="C58" s="1"/>
      <c r="D58" s="1"/>
      <c r="E58" s="1"/>
      <c r="F58" s="281"/>
      <c r="G58" s="281"/>
      <c r="H58" s="281"/>
      <c r="I58" s="288"/>
      <c r="J58" s="288"/>
      <c r="K58" s="281"/>
      <c r="AF58" s="337"/>
      <c r="AG58" s="338"/>
    </row>
    <row r="59" spans="1:33" ht="13.5" thickBot="1">
      <c r="A59" s="154">
        <v>31</v>
      </c>
      <c r="B59" s="3" t="s">
        <v>61</v>
      </c>
      <c r="C59" s="3"/>
      <c r="D59" s="3"/>
      <c r="E59" s="3"/>
      <c r="F59" s="289">
        <f t="shared" ref="F59:K59" si="17">F51-SUM(F54:F57)</f>
        <v>20434.171690145213</v>
      </c>
      <c r="G59" s="289">
        <f t="shared" si="17"/>
        <v>-20434.171690145213</v>
      </c>
      <c r="H59" s="289">
        <f t="shared" si="17"/>
        <v>0</v>
      </c>
      <c r="I59" s="289">
        <f t="shared" si="17"/>
        <v>1329</v>
      </c>
      <c r="J59" s="289">
        <f t="shared" si="17"/>
        <v>1328.4262204621168</v>
      </c>
      <c r="K59" s="289">
        <f t="shared" si="17"/>
        <v>2657.4262204621173</v>
      </c>
      <c r="O59" s="126"/>
      <c r="AF59" s="337"/>
      <c r="AG59" s="338"/>
    </row>
    <row r="60" spans="1:33" ht="12.75" customHeight="1" thickTop="1">
      <c r="A60" s="154"/>
      <c r="B60" s="1"/>
      <c r="C60" s="1"/>
      <c r="D60" s="1"/>
      <c r="E60" s="1"/>
      <c r="F60" s="281"/>
      <c r="G60" s="281"/>
      <c r="H60" s="281"/>
      <c r="I60" s="281"/>
      <c r="J60" s="281"/>
      <c r="K60" s="281"/>
      <c r="AF60" s="337"/>
      <c r="AG60" s="338"/>
    </row>
    <row r="61" spans="1:33" hidden="1">
      <c r="A61" s="154"/>
      <c r="B61" s="1"/>
      <c r="C61" s="1"/>
      <c r="D61" s="1"/>
      <c r="E61" s="1"/>
      <c r="F61" s="281"/>
      <c r="G61" s="281"/>
      <c r="H61" s="281"/>
      <c r="I61" s="281"/>
      <c r="J61" s="281"/>
      <c r="K61" s="281"/>
      <c r="AF61" s="337"/>
      <c r="AG61" s="338"/>
    </row>
    <row r="62" spans="1:33">
      <c r="A62" s="154"/>
      <c r="B62" s="1" t="s">
        <v>62</v>
      </c>
      <c r="C62" s="1"/>
      <c r="D62" s="1"/>
      <c r="E62" s="1"/>
      <c r="F62" s="281"/>
      <c r="G62" s="281"/>
      <c r="H62" s="281"/>
      <c r="I62" s="281"/>
      <c r="J62" s="281"/>
      <c r="K62" s="281"/>
      <c r="AF62" s="337"/>
      <c r="AG62" s="338"/>
    </row>
    <row r="63" spans="1:33">
      <c r="A63" s="154">
        <v>32</v>
      </c>
      <c r="B63" s="4"/>
      <c r="C63" s="4" t="s">
        <v>44</v>
      </c>
      <c r="D63" s="4"/>
      <c r="E63" s="4"/>
      <c r="F63" s="591">
        <f>ROO!H63</f>
        <v>25541.816071428577</v>
      </c>
      <c r="G63" s="281">
        <f>H63-F63</f>
        <v>-25541.816071428577</v>
      </c>
      <c r="H63" s="282">
        <f>'ADJ DETAIL INPUT'!BJ62</f>
        <v>0</v>
      </c>
      <c r="I63" s="281"/>
      <c r="J63" s="281"/>
      <c r="K63" s="66">
        <f>H63+I63+J63</f>
        <v>0</v>
      </c>
      <c r="AF63" s="337"/>
      <c r="AG63" s="338"/>
    </row>
    <row r="64" spans="1:33">
      <c r="A64" s="154">
        <v>33</v>
      </c>
      <c r="B64" s="4"/>
      <c r="C64" s="4" t="s">
        <v>63</v>
      </c>
      <c r="D64" s="4"/>
      <c r="E64" s="4"/>
      <c r="F64" s="281">
        <f>ROO!H64</f>
        <v>411623.26412337658</v>
      </c>
      <c r="G64" s="281">
        <f>H64-F64</f>
        <v>-411623.26412337658</v>
      </c>
      <c r="H64" s="282">
        <f>'ADJ DETAIL INPUT'!BJ63</f>
        <v>0</v>
      </c>
      <c r="I64" s="281"/>
      <c r="J64" s="281"/>
      <c r="K64" s="98">
        <f>H64+I64+J64</f>
        <v>0</v>
      </c>
      <c r="AF64" s="337"/>
      <c r="AG64" s="338"/>
    </row>
    <row r="65" spans="1:33">
      <c r="A65" s="154">
        <v>34</v>
      </c>
      <c r="B65" s="4"/>
      <c r="C65" s="4" t="s">
        <v>64</v>
      </c>
      <c r="D65" s="4"/>
      <c r="E65" s="4"/>
      <c r="F65" s="283">
        <f>ROO!H65</f>
        <v>89776.112500000003</v>
      </c>
      <c r="G65" s="283">
        <f>H65-F65</f>
        <v>-89776.112500000003</v>
      </c>
      <c r="H65" s="284">
        <f>'ADJ DETAIL INPUT'!BJ64</f>
        <v>0</v>
      </c>
      <c r="I65" s="283"/>
      <c r="J65" s="283"/>
      <c r="K65" s="590">
        <f>H65+I65+J65</f>
        <v>0</v>
      </c>
      <c r="AF65" s="337"/>
      <c r="AG65" s="338"/>
    </row>
    <row r="66" spans="1:33">
      <c r="A66" s="154">
        <v>35</v>
      </c>
      <c r="B66" s="4"/>
      <c r="C66" s="4"/>
      <c r="D66" s="4"/>
      <c r="E66" s="4" t="s">
        <v>65</v>
      </c>
      <c r="F66" s="290">
        <f>SUM(F63:F65)</f>
        <v>526941.19269480521</v>
      </c>
      <c r="G66" s="290">
        <f t="shared" ref="G66:K66" si="18">SUM(G63:G65)</f>
        <v>-526941.19269480521</v>
      </c>
      <c r="H66" s="290">
        <f t="shared" si="18"/>
        <v>0</v>
      </c>
      <c r="I66" s="290">
        <f t="shared" si="18"/>
        <v>0</v>
      </c>
      <c r="J66" s="290">
        <f t="shared" ref="J66" si="19">SUM(J63:J65)</f>
        <v>0</v>
      </c>
      <c r="K66" s="290">
        <f t="shared" si="18"/>
        <v>0</v>
      </c>
      <c r="AF66" s="337"/>
      <c r="AG66" s="338"/>
    </row>
    <row r="67" spans="1:33">
      <c r="A67" s="154"/>
      <c r="B67" s="4"/>
      <c r="C67" s="4"/>
      <c r="D67" s="4"/>
      <c r="E67" s="4"/>
      <c r="F67" s="290"/>
      <c r="G67" s="290"/>
      <c r="H67" s="290"/>
      <c r="I67" s="290"/>
      <c r="J67" s="290"/>
      <c r="K67" s="290"/>
      <c r="AF67" s="337"/>
      <c r="AG67" s="338"/>
    </row>
    <row r="68" spans="1:33">
      <c r="A68" s="154"/>
      <c r="B68" s="4" t="s">
        <v>430</v>
      </c>
      <c r="C68" s="4"/>
      <c r="D68" s="4"/>
      <c r="E68" s="4"/>
      <c r="F68" s="281"/>
      <c r="G68" s="281"/>
      <c r="H68" s="281"/>
      <c r="I68" s="281"/>
      <c r="J68" s="281"/>
      <c r="K68" s="281"/>
      <c r="AF68" s="337"/>
      <c r="AG68" s="338"/>
    </row>
    <row r="69" spans="1:33">
      <c r="A69" s="154">
        <v>36</v>
      </c>
      <c r="B69" s="4"/>
      <c r="C69" s="4" t="s">
        <v>44</v>
      </c>
      <c r="D69" s="4"/>
      <c r="E69" s="4"/>
      <c r="F69" s="281">
        <f>ROO!H69</f>
        <v>-11052.258603896105</v>
      </c>
      <c r="G69" s="281">
        <f t="shared" ref="G69:G79" si="20">H69-F69</f>
        <v>11052.258603896105</v>
      </c>
      <c r="H69" s="282">
        <f>'ADJ DETAIL INPUT'!BJ68</f>
        <v>0</v>
      </c>
      <c r="I69" s="281"/>
      <c r="J69" s="281"/>
      <c r="K69" s="98">
        <f t="shared" ref="K69:K71" si="21">H69+I69+J69</f>
        <v>0</v>
      </c>
      <c r="AF69" s="337"/>
      <c r="AG69" s="338"/>
    </row>
    <row r="70" spans="1:33">
      <c r="A70" s="154">
        <v>37</v>
      </c>
      <c r="B70" s="4"/>
      <c r="C70" s="4" t="s">
        <v>63</v>
      </c>
      <c r="D70" s="4"/>
      <c r="E70" s="4"/>
      <c r="F70" s="281">
        <f>ROO!H70</f>
        <v>-138204.85616883117</v>
      </c>
      <c r="G70" s="281">
        <f t="shared" si="20"/>
        <v>138204.85616883117</v>
      </c>
      <c r="H70" s="282">
        <f>'ADJ DETAIL INPUT'!BJ69</f>
        <v>0</v>
      </c>
      <c r="I70" s="281"/>
      <c r="J70" s="281"/>
      <c r="K70" s="98">
        <f t="shared" si="21"/>
        <v>0</v>
      </c>
      <c r="AF70" s="337"/>
      <c r="AG70" s="338"/>
    </row>
    <row r="71" spans="1:33">
      <c r="A71" s="154">
        <v>38</v>
      </c>
      <c r="B71" s="4"/>
      <c r="C71" s="4" t="s">
        <v>64</v>
      </c>
      <c r="D71" s="4"/>
      <c r="E71" s="4"/>
      <c r="F71" s="281">
        <f>ROO!H71</f>
        <v>-24300.799999999999</v>
      </c>
      <c r="G71" s="283">
        <f t="shared" si="20"/>
        <v>24300.799999999999</v>
      </c>
      <c r="H71" s="284">
        <f>'ADJ DETAIL INPUT'!BJ70</f>
        <v>0</v>
      </c>
      <c r="I71" s="283"/>
      <c r="J71" s="283"/>
      <c r="K71" s="98">
        <f t="shared" si="21"/>
        <v>0</v>
      </c>
      <c r="AF71" s="337"/>
      <c r="AG71" s="338"/>
    </row>
    <row r="72" spans="1:33">
      <c r="A72" s="154">
        <v>39</v>
      </c>
      <c r="B72" s="4" t="s">
        <v>431</v>
      </c>
      <c r="C72" s="4"/>
      <c r="D72" s="4"/>
      <c r="E72" s="492"/>
      <c r="F72" s="287">
        <f>SUM(F69:F71)</f>
        <v>-173557.91477272726</v>
      </c>
      <c r="G72" s="287">
        <f t="shared" ref="G72:K72" si="22">SUM(G69:G71)</f>
        <v>173557.91477272726</v>
      </c>
      <c r="H72" s="287">
        <f t="shared" si="22"/>
        <v>0</v>
      </c>
      <c r="I72" s="287">
        <f t="shared" si="22"/>
        <v>0</v>
      </c>
      <c r="J72" s="287">
        <f t="shared" ref="J72" si="23">SUM(J69:J71)</f>
        <v>0</v>
      </c>
      <c r="K72" s="287">
        <f t="shared" si="22"/>
        <v>0</v>
      </c>
      <c r="AF72" s="337"/>
      <c r="AG72" s="338"/>
    </row>
    <row r="73" spans="1:33">
      <c r="A73" s="154">
        <v>40</v>
      </c>
      <c r="B73" s="194" t="s">
        <v>179</v>
      </c>
      <c r="C73" s="4"/>
      <c r="D73" s="4"/>
      <c r="E73" s="4"/>
      <c r="F73" s="290">
        <f>F66+F72</f>
        <v>353383.27792207792</v>
      </c>
      <c r="G73" s="290">
        <f t="shared" ref="G73:K73" si="24">G66+G72</f>
        <v>-353383.27792207792</v>
      </c>
      <c r="H73" s="290">
        <f t="shared" si="24"/>
        <v>0</v>
      </c>
      <c r="I73" s="290">
        <f t="shared" si="24"/>
        <v>0</v>
      </c>
      <c r="J73" s="290">
        <f t="shared" ref="J73" si="25">J66+J72</f>
        <v>0</v>
      </c>
      <c r="K73" s="290">
        <f t="shared" si="24"/>
        <v>0</v>
      </c>
      <c r="AF73" s="337"/>
      <c r="AG73" s="338"/>
    </row>
    <row r="74" spans="1:33">
      <c r="A74" s="5">
        <v>41</v>
      </c>
      <c r="B74" s="6" t="s">
        <v>67</v>
      </c>
      <c r="C74" s="6"/>
      <c r="D74" s="6"/>
      <c r="E74" s="6"/>
      <c r="F74" s="283">
        <f>ROO!H74</f>
        <v>-80196.587824675327</v>
      </c>
      <c r="G74" s="283">
        <f t="shared" si="20"/>
        <v>80196.587824675327</v>
      </c>
      <c r="H74" s="284">
        <f>'ADJ DETAIL INPUT'!BJ73</f>
        <v>0</v>
      </c>
      <c r="I74" s="283"/>
      <c r="J74" s="283"/>
      <c r="K74" s="590">
        <f>H74+I74+J74</f>
        <v>0</v>
      </c>
      <c r="AF74" s="337"/>
      <c r="AG74" s="338"/>
    </row>
    <row r="75" spans="1:33">
      <c r="A75" s="5">
        <v>42</v>
      </c>
      <c r="B75" s="6"/>
      <c r="C75" s="196" t="s">
        <v>211</v>
      </c>
      <c r="D75" s="6"/>
      <c r="E75" s="6"/>
      <c r="F75" s="281">
        <f>F73+F74</f>
        <v>273186.69009740261</v>
      </c>
      <c r="G75" s="281">
        <f t="shared" ref="G75:K75" si="26">G73+G74</f>
        <v>-273186.69009740261</v>
      </c>
      <c r="H75" s="281">
        <f>H73+H74</f>
        <v>0</v>
      </c>
      <c r="I75" s="281">
        <f t="shared" si="26"/>
        <v>0</v>
      </c>
      <c r="J75" s="281">
        <f t="shared" ref="J75" si="27">J73+J74</f>
        <v>0</v>
      </c>
      <c r="K75" s="281">
        <f t="shared" si="26"/>
        <v>0</v>
      </c>
      <c r="AF75" s="337"/>
      <c r="AG75" s="338"/>
    </row>
    <row r="76" spans="1:33" ht="12" customHeight="1">
      <c r="A76" s="154">
        <v>43</v>
      </c>
      <c r="B76" s="327" t="s">
        <v>68</v>
      </c>
      <c r="C76" s="327"/>
      <c r="D76" s="327"/>
      <c r="E76" s="327"/>
      <c r="F76" s="281">
        <f>ROO!H76</f>
        <v>12740</v>
      </c>
      <c r="G76" s="328">
        <f t="shared" si="20"/>
        <v>-12740</v>
      </c>
      <c r="H76" s="329">
        <f>'ADJ DETAIL INPUT'!BJ75</f>
        <v>0</v>
      </c>
      <c r="I76" s="328"/>
      <c r="J76" s="328"/>
      <c r="K76" s="98">
        <f t="shared" ref="K76:K79" si="28">H76+I76+J76</f>
        <v>0</v>
      </c>
      <c r="AF76" s="337"/>
      <c r="AG76" s="338"/>
    </row>
    <row r="77" spans="1:33">
      <c r="A77" s="154">
        <v>44</v>
      </c>
      <c r="B77" s="327" t="s">
        <v>69</v>
      </c>
      <c r="C77" s="327"/>
      <c r="D77" s="327"/>
      <c r="E77" s="327"/>
      <c r="F77" s="281">
        <f>ROO!H77</f>
        <v>0</v>
      </c>
      <c r="G77" s="328">
        <f>H77-F77</f>
        <v>0</v>
      </c>
      <c r="H77" s="329">
        <f>'ADJ DETAIL INPUT'!BJ76</f>
        <v>0</v>
      </c>
      <c r="I77" s="328"/>
      <c r="J77" s="328"/>
      <c r="K77" s="98">
        <f t="shared" si="28"/>
        <v>0</v>
      </c>
      <c r="AF77" s="337"/>
      <c r="AG77" s="338"/>
    </row>
    <row r="78" spans="1:33">
      <c r="A78" s="154">
        <v>45</v>
      </c>
      <c r="B78" s="327" t="s">
        <v>432</v>
      </c>
      <c r="C78" s="327"/>
      <c r="D78" s="327"/>
      <c r="E78" s="327"/>
      <c r="F78" s="281">
        <f>ROO!H78</f>
        <v>-485</v>
      </c>
      <c r="G78" s="328">
        <f t="shared" ref="G78" si="29">H78-F78</f>
        <v>485</v>
      </c>
      <c r="H78" s="329">
        <f>'ADJ DETAIL INPUT'!BJ77</f>
        <v>0</v>
      </c>
      <c r="I78" s="328"/>
      <c r="J78" s="328"/>
      <c r="K78" s="98">
        <f t="shared" si="28"/>
        <v>0</v>
      </c>
      <c r="AF78" s="337"/>
      <c r="AG78" s="338"/>
    </row>
    <row r="79" spans="1:33">
      <c r="A79" s="154">
        <v>46</v>
      </c>
      <c r="B79" s="327" t="s">
        <v>183</v>
      </c>
      <c r="C79" s="327"/>
      <c r="D79" s="327"/>
      <c r="E79" s="327"/>
      <c r="F79" s="283">
        <f>ROO!H79</f>
        <v>12683</v>
      </c>
      <c r="G79" s="285">
        <f t="shared" si="20"/>
        <v>-12683</v>
      </c>
      <c r="H79" s="330">
        <f>'ADJ DETAIL INPUT'!BJ78</f>
        <v>0</v>
      </c>
      <c r="I79" s="285"/>
      <c r="J79" s="285"/>
      <c r="K79" s="590">
        <f t="shared" si="28"/>
        <v>0</v>
      </c>
      <c r="AF79" s="337"/>
      <c r="AG79" s="338"/>
    </row>
    <row r="80" spans="1:33">
      <c r="A80" s="154"/>
      <c r="B80" s="1"/>
      <c r="C80" s="1"/>
      <c r="D80" s="1"/>
      <c r="E80" s="1"/>
      <c r="F80" s="65"/>
      <c r="G80" s="65"/>
      <c r="H80" s="98"/>
      <c r="I80" s="65"/>
      <c r="J80" s="65"/>
      <c r="K80" s="65"/>
      <c r="AF80" s="337"/>
      <c r="AG80" s="338"/>
    </row>
    <row r="81" spans="1:37" ht="13.5" thickBot="1">
      <c r="A81" s="154">
        <v>47</v>
      </c>
      <c r="B81" s="3" t="s">
        <v>70</v>
      </c>
      <c r="C81" s="3"/>
      <c r="D81" s="3"/>
      <c r="E81" s="3"/>
      <c r="F81" s="97">
        <f>F79+F77+F76+F75+F78</f>
        <v>298124.69009740261</v>
      </c>
      <c r="G81" s="97">
        <f>G79+G77+G76+G75</f>
        <v>-298609.69009740261</v>
      </c>
      <c r="H81" s="97">
        <f>H79+H77+H76+H75+H78</f>
        <v>0</v>
      </c>
      <c r="I81" s="97">
        <f>I79+I77+I76+I75</f>
        <v>0</v>
      </c>
      <c r="J81" s="97">
        <f>J79+J77+J76+J75</f>
        <v>0</v>
      </c>
      <c r="K81" s="97">
        <f>K79+K77+K76+K75+K78</f>
        <v>0</v>
      </c>
      <c r="AF81" s="337"/>
      <c r="AG81" s="338"/>
    </row>
    <row r="82" spans="1:37" ht="13.5" thickTop="1">
      <c r="A82" s="154">
        <v>48</v>
      </c>
      <c r="B82" s="1" t="s">
        <v>485</v>
      </c>
      <c r="C82" s="1"/>
      <c r="D82" s="1"/>
      <c r="E82" s="1"/>
      <c r="F82" s="397">
        <f>ROUND(F59/F81,4)</f>
        <v>6.8500000000000005E-2</v>
      </c>
      <c r="G82" s="94"/>
      <c r="H82" s="397" t="e">
        <f>ROUND(H59/H81,4)</f>
        <v>#DIV/0!</v>
      </c>
      <c r="I82" s="7"/>
      <c r="J82" s="7"/>
      <c r="K82" s="397" t="e">
        <f>ROUND(K59/K81,4)</f>
        <v>#DIV/0!</v>
      </c>
      <c r="AF82" s="337"/>
      <c r="AG82" s="338"/>
    </row>
    <row r="83" spans="1:37">
      <c r="A83" s="95"/>
      <c r="B83" s="1"/>
      <c r="C83" s="96"/>
      <c r="D83" s="96"/>
      <c r="E83" s="595" t="s">
        <v>546</v>
      </c>
      <c r="F83" s="414"/>
      <c r="G83" s="68"/>
      <c r="H83" s="68"/>
      <c r="I83" s="68"/>
      <c r="J83" s="68"/>
      <c r="K83" s="68"/>
      <c r="AF83" s="343"/>
      <c r="AG83" s="344"/>
    </row>
    <row r="84" spans="1:37" ht="13.5" thickBot="1">
      <c r="A84" s="95"/>
      <c r="B84" s="96"/>
      <c r="C84" s="96"/>
      <c r="D84" s="96"/>
      <c r="E84" s="68"/>
      <c r="F84" s="68"/>
      <c r="G84" s="68"/>
      <c r="H84" s="68"/>
      <c r="I84" s="68"/>
      <c r="J84" s="68"/>
      <c r="K84" s="68"/>
      <c r="AF84" s="339"/>
      <c r="AG84" s="340"/>
      <c r="AK84" s="492">
        <f>AK90</f>
        <v>0</v>
      </c>
    </row>
  </sheetData>
  <mergeCells count="1">
    <mergeCell ref="F6:K6"/>
  </mergeCells>
  <pageMargins left="0.75" right="0.5" top="0.72" bottom="0.84" header="0.5" footer="0.5"/>
  <pageSetup scale="65" orientation="portrait" r:id="rId1"/>
  <headerFooter scaleWithDoc="0" alignWithMargins="0">
    <oddHeader xml:space="preserve">&amp;RExhibit No. ___(JSS-3)
</oddHeader>
    <oddFooter>&amp;RPage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U84"/>
  <sheetViews>
    <sheetView tabSelected="1" topLeftCell="A27" zoomScale="115" zoomScaleNormal="115" zoomScaleSheetLayoutView="130" workbookViewId="0">
      <selection activeCell="B64" sqref="B64"/>
    </sheetView>
  </sheetViews>
  <sheetFormatPr defaultRowHeight="13"/>
  <cols>
    <col min="1" max="1" width="7.26953125" style="36" customWidth="1"/>
    <col min="2" max="2" width="1.453125" style="36" customWidth="1"/>
    <col min="3" max="3" width="74.81640625" style="36" customWidth="1"/>
    <col min="4" max="4" width="2.26953125" style="36" customWidth="1"/>
    <col min="5" max="5" width="1.7265625" style="36" customWidth="1"/>
    <col min="6" max="6" width="23.81640625" style="36" customWidth="1"/>
    <col min="7" max="7" width="4.1796875" style="36" customWidth="1"/>
    <col min="8" max="8" width="10.81640625" style="36" customWidth="1"/>
    <col min="9" max="9" width="13.81640625" style="36" customWidth="1"/>
    <col min="10" max="10" width="7.81640625" style="36" customWidth="1"/>
    <col min="11" max="11" width="11.453125" style="36" customWidth="1"/>
    <col min="12" max="12" width="14.26953125" style="36" customWidth="1"/>
    <col min="13" max="13" width="14.81640625" style="36" customWidth="1"/>
    <col min="14" max="14" width="14.81640625" style="492" customWidth="1"/>
    <col min="15" max="15" width="14" style="36" customWidth="1"/>
    <col min="16" max="16" width="9.26953125" customWidth="1"/>
    <col min="35" max="35" width="8.7265625" style="640"/>
  </cols>
  <sheetData>
    <row r="1" spans="1:46">
      <c r="A1" s="605" t="s">
        <v>114</v>
      </c>
      <c r="B1" s="40"/>
      <c r="C1" s="40"/>
      <c r="D1" s="40"/>
      <c r="E1" s="40"/>
      <c r="F1" s="40"/>
      <c r="G1" s="40"/>
      <c r="H1" s="140"/>
      <c r="I1" s="940" t="s">
        <v>114</v>
      </c>
      <c r="J1" s="940"/>
      <c r="K1" s="940"/>
      <c r="L1" s="940"/>
      <c r="M1" s="940"/>
      <c r="N1" s="129"/>
      <c r="O1" s="129"/>
      <c r="P1" s="36"/>
    </row>
    <row r="2" spans="1:46">
      <c r="A2" s="605" t="s">
        <v>467</v>
      </c>
      <c r="B2" s="40"/>
      <c r="C2" s="40"/>
      <c r="D2" s="40"/>
      <c r="E2" s="40"/>
      <c r="F2" s="40"/>
      <c r="G2" s="40"/>
      <c r="H2" s="492"/>
      <c r="I2" s="940" t="s">
        <v>469</v>
      </c>
      <c r="J2" s="940"/>
      <c r="K2" s="940"/>
      <c r="L2" s="940"/>
      <c r="M2" s="940"/>
      <c r="N2" s="331"/>
      <c r="O2" s="331"/>
      <c r="P2" s="36"/>
    </row>
    <row r="3" spans="1:46">
      <c r="A3" s="606" t="s">
        <v>468</v>
      </c>
      <c r="B3" s="839"/>
      <c r="C3" s="839"/>
      <c r="D3" s="839"/>
      <c r="E3" s="839"/>
      <c r="F3" s="839"/>
      <c r="G3" s="839"/>
      <c r="H3" s="140"/>
      <c r="I3" s="940" t="s">
        <v>468</v>
      </c>
      <c r="J3" s="940"/>
      <c r="K3" s="940"/>
      <c r="L3" s="940"/>
      <c r="M3" s="940"/>
      <c r="N3" s="129"/>
      <c r="O3" s="129"/>
      <c r="P3" s="36"/>
    </row>
    <row r="4" spans="1:46">
      <c r="A4" s="607" t="str">
        <f>ROO!A4</f>
        <v>TWELVE MONTHS ENDED SEPTEMBER 30, 2015</v>
      </c>
      <c r="B4" s="597"/>
      <c r="C4" s="597"/>
      <c r="D4" s="597"/>
      <c r="E4" s="597"/>
      <c r="F4" s="597"/>
      <c r="G4" s="597"/>
      <c r="H4" s="492"/>
      <c r="I4" s="941"/>
      <c r="J4" s="941"/>
      <c r="K4" s="941"/>
      <c r="L4" s="941"/>
      <c r="M4" s="941"/>
      <c r="N4" s="837"/>
      <c r="O4" s="892"/>
    </row>
    <row r="5" spans="1:46">
      <c r="A5" s="606" t="s">
        <v>549</v>
      </c>
      <c r="B5" s="839"/>
      <c r="C5" s="839"/>
      <c r="D5" s="839"/>
      <c r="E5" s="839"/>
      <c r="F5" s="839"/>
      <c r="G5" s="839"/>
      <c r="H5" s="140"/>
      <c r="I5" s="331"/>
      <c r="J5" s="331"/>
      <c r="K5" s="331"/>
      <c r="L5" s="331"/>
      <c r="M5" s="331"/>
      <c r="N5" s="331"/>
      <c r="O5" s="331"/>
      <c r="W5" s="115"/>
      <c r="X5" s="115"/>
      <c r="Y5" s="115"/>
      <c r="Z5" s="115"/>
      <c r="AA5" s="115"/>
      <c r="AB5" s="115"/>
      <c r="AC5" s="115"/>
      <c r="AD5" s="115"/>
      <c r="AE5" s="115"/>
      <c r="AF5" s="115"/>
      <c r="AG5" s="115"/>
      <c r="AH5" s="115"/>
      <c r="AI5" s="641"/>
    </row>
    <row r="6" spans="1:46" ht="16" thickBot="1">
      <c r="A6" s="940"/>
      <c r="B6" s="940"/>
      <c r="C6" s="940"/>
      <c r="D6" s="940"/>
      <c r="E6" s="940"/>
      <c r="F6" s="940"/>
      <c r="G6" s="940"/>
      <c r="H6" s="130"/>
      <c r="I6" s="131"/>
      <c r="J6" s="131"/>
      <c r="K6" s="131"/>
      <c r="L6" s="131"/>
      <c r="M6" s="131"/>
      <c r="N6" s="131"/>
      <c r="O6" s="131"/>
      <c r="R6" s="115"/>
      <c r="S6" s="115"/>
      <c r="W6" s="115"/>
      <c r="X6" s="115"/>
      <c r="Y6" s="115"/>
      <c r="Z6" s="115"/>
      <c r="AA6" s="115"/>
      <c r="AB6" s="115"/>
      <c r="AC6" s="115"/>
      <c r="AD6" s="115"/>
      <c r="AE6" s="115"/>
      <c r="AF6" s="115"/>
      <c r="AG6" s="115"/>
      <c r="AH6" s="115"/>
      <c r="AI6" s="641"/>
      <c r="AK6" s="437"/>
      <c r="AL6" s="437"/>
      <c r="AM6" s="437"/>
      <c r="AN6" s="437"/>
      <c r="AO6" s="437"/>
      <c r="AP6" s="437"/>
      <c r="AQ6" s="437"/>
      <c r="AR6" s="437"/>
      <c r="AS6" s="437"/>
    </row>
    <row r="7" spans="1:46" ht="15.5">
      <c r="A7" s="492"/>
      <c r="B7" s="492"/>
      <c r="C7" s="492"/>
      <c r="D7" s="492"/>
      <c r="E7" s="492"/>
      <c r="F7" s="601"/>
      <c r="G7" s="440"/>
      <c r="H7" s="130"/>
      <c r="I7" s="792" t="s">
        <v>582</v>
      </c>
      <c r="J7" s="470"/>
      <c r="K7" s="470"/>
      <c r="L7" s="470"/>
      <c r="M7" s="471"/>
      <c r="N7" s="208"/>
      <c r="O7" s="208"/>
    </row>
    <row r="8" spans="1:46" ht="15.5">
      <c r="A8" s="437"/>
      <c r="B8" s="437"/>
      <c r="C8" s="437"/>
      <c r="D8" s="437"/>
      <c r="E8" s="437"/>
      <c r="F8" s="492"/>
      <c r="G8" s="345"/>
      <c r="H8" s="132"/>
      <c r="I8" s="472"/>
      <c r="J8" s="134"/>
      <c r="K8" s="138"/>
      <c r="L8" s="139"/>
      <c r="M8" s="480"/>
      <c r="N8" s="133"/>
      <c r="O8" s="209"/>
    </row>
    <row r="9" spans="1:46" ht="15.4" customHeight="1">
      <c r="A9" s="685" t="s">
        <v>137</v>
      </c>
      <c r="B9" s="686"/>
      <c r="C9" s="130"/>
      <c r="D9" s="685"/>
      <c r="E9" s="685"/>
      <c r="F9" s="133" t="s">
        <v>575</v>
      </c>
      <c r="G9" s="939"/>
      <c r="H9" s="132"/>
      <c r="I9" s="473"/>
      <c r="J9" s="133"/>
      <c r="K9" s="133" t="s">
        <v>138</v>
      </c>
      <c r="L9" s="133"/>
      <c r="M9" s="480" t="s">
        <v>139</v>
      </c>
      <c r="N9" s="133"/>
      <c r="O9" s="209"/>
    </row>
    <row r="10" spans="1:46" ht="16.5" customHeight="1" thickBot="1">
      <c r="A10" s="687" t="s">
        <v>17</v>
      </c>
      <c r="B10" s="686"/>
      <c r="C10" s="687" t="s">
        <v>73</v>
      </c>
      <c r="D10" s="685"/>
      <c r="E10" s="685"/>
      <c r="F10" s="688" t="s">
        <v>548</v>
      </c>
      <c r="G10" s="939"/>
      <c r="H10" s="132"/>
      <c r="I10" s="474" t="s">
        <v>140</v>
      </c>
      <c r="J10" s="133"/>
      <c r="K10" s="475" t="s">
        <v>141</v>
      </c>
      <c r="L10" s="475" t="s">
        <v>142</v>
      </c>
      <c r="M10" s="481" t="s">
        <v>142</v>
      </c>
      <c r="N10" s="133"/>
      <c r="O10" s="209"/>
      <c r="AI10" s="642"/>
    </row>
    <row r="11" spans="1:46" ht="15.5">
      <c r="A11" s="130"/>
      <c r="B11" s="130"/>
      <c r="C11" s="130"/>
      <c r="D11" s="130"/>
      <c r="E11" s="689"/>
      <c r="F11" s="130"/>
      <c r="G11" s="440"/>
      <c r="H11" s="132"/>
      <c r="I11" s="472" t="s">
        <v>560</v>
      </c>
      <c r="J11" s="134"/>
      <c r="K11" s="207">
        <v>3.1199999999999999E-2</v>
      </c>
      <c r="L11" s="206">
        <v>2.6630000000000001E-2</v>
      </c>
      <c r="M11" s="681">
        <f>+L11*K11</f>
        <v>8.3085600000000004E-4</v>
      </c>
      <c r="N11" s="134"/>
      <c r="O11" s="209"/>
    </row>
    <row r="12" spans="1:46" ht="15.5">
      <c r="A12" s="690">
        <v>1</v>
      </c>
      <c r="B12" s="691"/>
      <c r="C12" s="691" t="s">
        <v>577</v>
      </c>
      <c r="D12" s="691"/>
      <c r="E12" s="691"/>
      <c r="F12" s="912">
        <f>'ADJ DETAIL INPUT'!AV81</f>
        <v>298124.69009740255</v>
      </c>
      <c r="G12" s="692"/>
      <c r="H12" s="132"/>
      <c r="I12" s="726" t="s">
        <v>561</v>
      </c>
      <c r="J12" s="727"/>
      <c r="K12" s="728">
        <v>0.48380000000000001</v>
      </c>
      <c r="L12" s="729">
        <v>5.6959999999999997E-2</v>
      </c>
      <c r="M12" s="682">
        <f>+L12*K12</f>
        <v>2.7557247999999999E-2</v>
      </c>
      <c r="N12" s="446"/>
      <c r="O12" s="209"/>
      <c r="P12" s="115"/>
    </row>
    <row r="13" spans="1:46" ht="16">
      <c r="A13" s="690"/>
      <c r="B13" s="691"/>
      <c r="C13" s="691"/>
      <c r="D13" s="691"/>
      <c r="E13" s="691"/>
      <c r="F13" s="693"/>
      <c r="G13" s="694"/>
      <c r="H13" s="132"/>
      <c r="I13" s="476" t="s">
        <v>446</v>
      </c>
      <c r="J13" s="135"/>
      <c r="K13" s="207">
        <f>+K11+K12</f>
        <v>0.51500000000000001</v>
      </c>
      <c r="L13" s="734">
        <f>+((K11/K13)*L11)+((K12/K13)*L12)</f>
        <v>5.5122532038834951E-2</v>
      </c>
      <c r="M13" s="735">
        <f>SUM(M11:M12)</f>
        <v>2.8388104000000001E-2</v>
      </c>
      <c r="N13" s="204"/>
      <c r="O13" s="210" t="s">
        <v>165</v>
      </c>
    </row>
    <row r="14" spans="1:46" ht="16">
      <c r="A14" s="690">
        <v>2</v>
      </c>
      <c r="B14" s="691"/>
      <c r="C14" s="691" t="s">
        <v>143</v>
      </c>
      <c r="D14" s="691"/>
      <c r="E14" s="691"/>
      <c r="F14" s="695">
        <f>M17</f>
        <v>7.2999999999999995E-2</v>
      </c>
      <c r="G14" s="696"/>
      <c r="H14" s="132"/>
      <c r="I14" s="476"/>
      <c r="J14" s="135"/>
      <c r="K14" s="733"/>
      <c r="L14" s="731"/>
      <c r="M14" s="735"/>
      <c r="N14" s="204"/>
      <c r="O14" s="207">
        <f>M13+M14</f>
        <v>2.8388104000000001E-2</v>
      </c>
      <c r="AJ14" s="644"/>
      <c r="AT14" s="115"/>
    </row>
    <row r="15" spans="1:46" ht="16">
      <c r="A15" s="690"/>
      <c r="B15" s="691"/>
      <c r="C15" s="691"/>
      <c r="D15" s="691"/>
      <c r="E15" s="691"/>
      <c r="F15" s="697"/>
      <c r="G15" s="698"/>
      <c r="H15" s="132"/>
      <c r="I15" s="476" t="s">
        <v>176</v>
      </c>
      <c r="J15" s="135"/>
      <c r="K15" s="733">
        <v>0.48499999999999999</v>
      </c>
      <c r="L15" s="731">
        <v>9.1999999999999998E-2</v>
      </c>
      <c r="M15" s="735">
        <f>ROUND(K15*L15,4)</f>
        <v>4.4600000000000001E-2</v>
      </c>
      <c r="N15" s="204"/>
      <c r="O15" s="209"/>
      <c r="P15" s="115"/>
      <c r="AJ15" s="644"/>
      <c r="AT15" s="115"/>
    </row>
    <row r="16" spans="1:46" ht="15.5">
      <c r="A16" s="690">
        <v>3</v>
      </c>
      <c r="B16" s="691"/>
      <c r="C16" s="691" t="s">
        <v>578</v>
      </c>
      <c r="D16" s="691"/>
      <c r="E16" s="691"/>
      <c r="F16" s="913">
        <f>ROUND(F12*F14,0)</f>
        <v>21763</v>
      </c>
      <c r="G16" s="694"/>
      <c r="H16" s="132"/>
      <c r="I16" s="341"/>
      <c r="J16" s="446"/>
      <c r="K16" s="446"/>
      <c r="L16" s="705"/>
      <c r="M16" s="730"/>
      <c r="N16" s="446"/>
      <c r="O16" s="209"/>
      <c r="AJ16" s="644"/>
      <c r="AT16" s="115"/>
    </row>
    <row r="17" spans="1:46" ht="16" thickBot="1">
      <c r="A17" s="690"/>
      <c r="B17" s="691"/>
      <c r="C17" s="691"/>
      <c r="D17" s="691"/>
      <c r="E17" s="653"/>
      <c r="F17" s="693"/>
      <c r="G17" s="694"/>
      <c r="H17" s="132"/>
      <c r="I17" s="476" t="s">
        <v>27</v>
      </c>
      <c r="J17" s="137"/>
      <c r="K17" s="477">
        <f>+K13+K15</f>
        <v>1</v>
      </c>
      <c r="L17" s="731"/>
      <c r="M17" s="732">
        <f>ROUND(SUM(M13:M15),4)</f>
        <v>7.2999999999999995E-2</v>
      </c>
      <c r="N17" s="207"/>
      <c r="O17" s="209"/>
      <c r="AT17" s="115"/>
    </row>
    <row r="18" spans="1:46" ht="16.5" thickTop="1" thickBot="1">
      <c r="A18" s="690">
        <v>4</v>
      </c>
      <c r="B18" s="691"/>
      <c r="C18" s="691" t="s">
        <v>144</v>
      </c>
      <c r="D18" s="691"/>
      <c r="E18" s="691"/>
      <c r="F18" s="699">
        <f>'ADJ DETAIL INPUT'!AV58</f>
        <v>20434.171690145213</v>
      </c>
      <c r="G18" s="692"/>
      <c r="H18" s="132"/>
      <c r="I18" s="478"/>
      <c r="J18" s="479"/>
      <c r="K18" s="479"/>
      <c r="L18" s="479"/>
      <c r="M18" s="482"/>
      <c r="N18" s="208"/>
      <c r="O18" s="209"/>
      <c r="AT18" s="115"/>
    </row>
    <row r="19" spans="1:46" ht="15.5">
      <c r="A19" s="690"/>
      <c r="B19" s="691"/>
      <c r="C19" s="691"/>
      <c r="D19" s="691"/>
      <c r="E19" s="691"/>
      <c r="F19" s="691"/>
      <c r="G19" s="700"/>
      <c r="H19" s="132"/>
      <c r="I19" s="596"/>
      <c r="J19" s="496"/>
      <c r="K19" s="496"/>
      <c r="L19" s="496"/>
      <c r="M19" s="120"/>
      <c r="N19" s="446"/>
      <c r="O19" s="506"/>
      <c r="AT19" s="115"/>
    </row>
    <row r="20" spans="1:46" ht="15.5">
      <c r="A20" s="690">
        <v>5</v>
      </c>
      <c r="B20" s="691"/>
      <c r="C20" s="691" t="s">
        <v>145</v>
      </c>
      <c r="D20" s="691"/>
      <c r="E20" s="691"/>
      <c r="F20" s="913">
        <f>F16-F18</f>
        <v>1328.8283098547872</v>
      </c>
      <c r="G20" s="694"/>
      <c r="H20" s="132"/>
      <c r="I20" s="446"/>
      <c r="J20" s="446"/>
      <c r="K20" s="446"/>
      <c r="L20" s="446"/>
      <c r="M20" s="118"/>
      <c r="N20" s="446"/>
      <c r="O20" s="446"/>
      <c r="AT20" s="115"/>
    </row>
    <row r="21" spans="1:46" ht="15.5">
      <c r="A21" s="690"/>
      <c r="B21" s="691"/>
      <c r="C21" s="691"/>
      <c r="D21" s="691"/>
      <c r="E21" s="691"/>
      <c r="F21" s="691"/>
      <c r="G21" s="700"/>
      <c r="H21" s="67"/>
      <c r="I21" s="208"/>
      <c r="J21" s="208"/>
      <c r="K21" s="208"/>
      <c r="L21" s="208"/>
      <c r="M21" s="208"/>
      <c r="N21" s="208"/>
      <c r="O21" s="208"/>
      <c r="AT21" s="115"/>
    </row>
    <row r="22" spans="1:46" ht="15.5">
      <c r="A22" s="690">
        <v>6</v>
      </c>
      <c r="B22" s="691"/>
      <c r="C22" s="691" t="s">
        <v>146</v>
      </c>
      <c r="D22" s="691"/>
      <c r="E22" s="691"/>
      <c r="F22" s="701">
        <f>CF!E27</f>
        <v>0.62000299999999997</v>
      </c>
      <c r="G22" s="702"/>
      <c r="H22" s="67"/>
      <c r="I22" s="134"/>
      <c r="J22" s="134"/>
      <c r="K22" s="138"/>
      <c r="L22" s="139"/>
      <c r="M22" s="133"/>
      <c r="N22" s="133"/>
      <c r="O22" s="209"/>
      <c r="P22" s="123"/>
      <c r="AT22" s="115"/>
    </row>
    <row r="23" spans="1:46" ht="15.5">
      <c r="A23" s="690"/>
      <c r="B23" s="691"/>
      <c r="C23" s="691"/>
      <c r="D23" s="691"/>
      <c r="E23" s="691"/>
      <c r="F23" s="917"/>
      <c r="G23" s="700"/>
      <c r="H23" s="67"/>
      <c r="I23" s="492"/>
      <c r="J23" s="492"/>
      <c r="K23" s="133"/>
      <c r="L23" s="133"/>
      <c r="M23" s="133"/>
      <c r="N23" s="133"/>
      <c r="O23" s="209"/>
      <c r="P23" s="123"/>
      <c r="AJ23" s="645"/>
      <c r="AT23" s="115"/>
    </row>
    <row r="24" spans="1:46" ht="15.5">
      <c r="A24" s="690">
        <v>7</v>
      </c>
      <c r="B24" s="691"/>
      <c r="C24" s="130" t="s">
        <v>579</v>
      </c>
      <c r="D24" s="691"/>
      <c r="E24" s="703"/>
      <c r="F24" s="914">
        <f>ROUND(F20/F22,0)</f>
        <v>2143</v>
      </c>
      <c r="G24" s="704"/>
      <c r="H24" s="67"/>
      <c r="I24" s="492"/>
      <c r="J24" s="492"/>
      <c r="K24" s="492"/>
      <c r="L24" s="492"/>
      <c r="M24" s="133"/>
      <c r="N24" s="133"/>
      <c r="O24" s="209"/>
      <c r="P24" s="123"/>
      <c r="AT24" s="115"/>
    </row>
    <row r="25" spans="1:46" ht="15.5">
      <c r="A25" s="691"/>
      <c r="B25" s="691"/>
      <c r="C25" s="691"/>
      <c r="D25" s="691"/>
      <c r="E25" s="703"/>
      <c r="F25" s="691"/>
      <c r="G25" s="700"/>
      <c r="H25" s="67"/>
      <c r="I25" s="593"/>
      <c r="J25" s="593"/>
      <c r="K25" s="492"/>
      <c r="L25" s="492"/>
      <c r="M25" s="134"/>
      <c r="N25" s="134"/>
      <c r="O25" s="209"/>
      <c r="P25" s="123"/>
      <c r="AT25" s="115"/>
    </row>
    <row r="26" spans="1:46" ht="15.5">
      <c r="A26" s="690">
        <v>8</v>
      </c>
      <c r="B26" s="691"/>
      <c r="C26" s="691" t="s">
        <v>581</v>
      </c>
      <c r="D26" s="691"/>
      <c r="E26" s="691"/>
      <c r="F26" s="706">
        <f>ROO!H15+ROO!H16+1</f>
        <v>90353.164348908147</v>
      </c>
      <c r="G26" s="692"/>
      <c r="H26" s="67"/>
      <c r="I26" s="593"/>
      <c r="J26" s="593"/>
      <c r="K26" s="492"/>
      <c r="L26" s="492"/>
      <c r="M26" s="47"/>
      <c r="N26" s="440"/>
      <c r="O26" s="209"/>
      <c r="P26" s="123"/>
      <c r="AT26" s="115"/>
    </row>
    <row r="27" spans="1:46" ht="16">
      <c r="A27" s="691"/>
      <c r="B27" s="691"/>
      <c r="C27" s="691"/>
      <c r="D27" s="691"/>
      <c r="E27" s="691"/>
      <c r="F27" s="691"/>
      <c r="G27" s="700"/>
      <c r="H27" s="67"/>
      <c r="I27" s="593"/>
      <c r="J27" s="593"/>
      <c r="K27" s="492"/>
      <c r="L27" s="492"/>
      <c r="M27" s="204"/>
      <c r="N27" s="204"/>
      <c r="O27" s="210"/>
      <c r="P27" s="123"/>
      <c r="AT27" s="115"/>
    </row>
    <row r="28" spans="1:46" ht="16.5" thickBot="1">
      <c r="A28" s="690">
        <v>9</v>
      </c>
      <c r="B28" s="691"/>
      <c r="C28" s="130" t="s">
        <v>563</v>
      </c>
      <c r="D28" s="691"/>
      <c r="E28" s="691"/>
      <c r="F28" s="915">
        <f>ROUND(F24/F26,3)</f>
        <v>2.4E-2</v>
      </c>
      <c r="G28" s="707"/>
      <c r="H28" s="492"/>
      <c r="I28" s="593"/>
      <c r="J28" s="593"/>
      <c r="K28" s="492"/>
      <c r="L28" s="492"/>
      <c r="M28" s="204"/>
      <c r="N28" s="204"/>
      <c r="O28" s="207"/>
      <c r="P28" s="123"/>
      <c r="AT28" s="115"/>
    </row>
    <row r="29" spans="1:46" ht="16" thickTop="1">
      <c r="A29" s="691"/>
      <c r="B29" s="691"/>
      <c r="C29" s="708"/>
      <c r="D29" s="708"/>
      <c r="E29" s="708"/>
      <c r="F29" s="708"/>
      <c r="G29" s="709"/>
      <c r="H29" s="492"/>
      <c r="I29" s="208"/>
      <c r="J29" s="136"/>
      <c r="K29" s="205"/>
      <c r="L29" s="205"/>
      <c r="M29" s="206"/>
      <c r="N29" s="206"/>
      <c r="O29" s="209"/>
      <c r="P29" s="123"/>
      <c r="AT29" s="115"/>
    </row>
    <row r="30" spans="1:46" s="492" customFormat="1" ht="14.25" customHeight="1">
      <c r="A30" s="690">
        <v>10</v>
      </c>
      <c r="B30" s="710"/>
      <c r="C30" s="711" t="s">
        <v>580</v>
      </c>
      <c r="D30" s="711"/>
      <c r="E30" s="712"/>
      <c r="F30" s="916">
        <f>+F24+F26</f>
        <v>92496.164348908147</v>
      </c>
      <c r="G30" s="653"/>
      <c r="H30" s="599"/>
      <c r="I30" s="440"/>
      <c r="J30" s="600"/>
      <c r="K30" s="601"/>
      <c r="L30" s="601"/>
      <c r="M30" s="601"/>
      <c r="N30" s="601"/>
      <c r="O30" s="601"/>
      <c r="P30" s="600"/>
      <c r="Q30" s="446"/>
      <c r="R30" s="446"/>
      <c r="S30" s="446"/>
      <c r="T30" s="446"/>
      <c r="U30" s="446"/>
      <c r="V30" s="446"/>
      <c r="W30" s="446"/>
      <c r="X30" s="446"/>
      <c r="Y30" s="446"/>
      <c r="AI30" s="635"/>
      <c r="AT30" s="496"/>
    </row>
    <row r="31" spans="1:46" s="492" customFormat="1" ht="14.25" customHeight="1">
      <c r="A31" s="690"/>
      <c r="B31" s="710"/>
      <c r="C31" s="711"/>
      <c r="D31" s="711"/>
      <c r="E31" s="712"/>
      <c r="F31" s="713"/>
      <c r="G31" s="653"/>
      <c r="H31" s="599"/>
      <c r="I31" s="440"/>
      <c r="J31" s="600"/>
      <c r="K31" s="600"/>
      <c r="L31" s="600"/>
      <c r="M31" s="600"/>
      <c r="N31" s="602"/>
      <c r="O31" s="600"/>
      <c r="P31" s="600"/>
      <c r="Q31" s="446"/>
      <c r="R31" s="446"/>
      <c r="S31" s="446"/>
      <c r="T31" s="446"/>
      <c r="U31" s="446"/>
      <c r="V31" s="446"/>
      <c r="W31" s="446"/>
      <c r="X31" s="446"/>
      <c r="Y31" s="446"/>
      <c r="AI31" s="635"/>
      <c r="AT31" s="496"/>
    </row>
    <row r="32" spans="1:46" s="492" customFormat="1" ht="14.25" customHeight="1">
      <c r="A32" s="721"/>
      <c r="B32" s="722"/>
      <c r="C32" s="711"/>
      <c r="D32" s="711"/>
      <c r="E32" s="711"/>
      <c r="F32" s="713"/>
      <c r="G32" s="653"/>
      <c r="H32" s="599"/>
      <c r="I32" s="440"/>
      <c r="J32" s="600"/>
      <c r="K32" s="446"/>
      <c r="L32" s="160"/>
      <c r="M32" s="603"/>
      <c r="N32" s="604"/>
      <c r="O32" s="603"/>
      <c r="P32" s="600"/>
      <c r="Q32" s="446"/>
      <c r="R32" s="446"/>
      <c r="S32" s="446"/>
      <c r="T32" s="446"/>
      <c r="U32" s="446"/>
      <c r="V32" s="446"/>
      <c r="W32" s="446"/>
      <c r="X32" s="446"/>
      <c r="Y32" s="446"/>
      <c r="AI32" s="635"/>
      <c r="AT32" s="496"/>
    </row>
    <row r="33" spans="1:47" s="492" customFormat="1" ht="14.25" customHeight="1">
      <c r="A33" s="711"/>
      <c r="B33" s="711"/>
      <c r="C33" s="711"/>
      <c r="D33" s="711"/>
      <c r="E33" s="711"/>
      <c r="F33" s="713"/>
      <c r="G33" s="653"/>
      <c r="H33" s="599"/>
      <c r="I33" s="440"/>
      <c r="J33" s="600"/>
      <c r="K33" s="446"/>
      <c r="L33" s="163"/>
      <c r="M33" s="603"/>
      <c r="N33" s="604"/>
      <c r="O33" s="603"/>
      <c r="P33" s="446"/>
      <c r="Q33" s="446"/>
      <c r="R33" s="446"/>
      <c r="S33" s="446"/>
      <c r="T33" s="446"/>
      <c r="U33" s="446"/>
      <c r="V33" s="446"/>
      <c r="W33" s="446"/>
      <c r="X33" s="446"/>
      <c r="Y33" s="446"/>
      <c r="AI33" s="635"/>
      <c r="AT33" s="496"/>
    </row>
    <row r="34" spans="1:47" s="492" customFormat="1" ht="14.25" customHeight="1">
      <c r="A34" s="492" t="s">
        <v>596</v>
      </c>
      <c r="C34" s="711"/>
      <c r="D34" s="711"/>
      <c r="E34" s="711"/>
      <c r="F34" s="713"/>
      <c r="G34" s="653"/>
      <c r="H34" s="599"/>
      <c r="I34" s="440"/>
      <c r="J34" s="600"/>
      <c r="K34" s="446"/>
      <c r="L34" s="163"/>
      <c r="M34" s="603"/>
      <c r="N34" s="604"/>
      <c r="O34" s="603"/>
      <c r="P34" s="446"/>
      <c r="Q34" s="446"/>
      <c r="R34" s="446"/>
      <c r="S34" s="446"/>
      <c r="T34" s="446"/>
      <c r="U34" s="446"/>
      <c r="V34" s="446"/>
      <c r="W34" s="446"/>
      <c r="X34" s="446"/>
      <c r="Y34" s="446"/>
      <c r="AI34" s="635"/>
      <c r="AT34" s="496"/>
    </row>
    <row r="35" spans="1:47" s="492" customFormat="1" ht="14.25" customHeight="1">
      <c r="A35" s="711"/>
      <c r="B35" s="711"/>
      <c r="C35" s="711"/>
      <c r="D35" s="711"/>
      <c r="E35" s="711"/>
      <c r="F35" s="715"/>
      <c r="G35" s="653"/>
      <c r="H35" s="599"/>
      <c r="I35" s="440"/>
      <c r="J35" s="600"/>
      <c r="K35" s="446"/>
      <c r="L35" s="163"/>
      <c r="M35" s="603"/>
      <c r="N35" s="604"/>
      <c r="O35" s="603"/>
      <c r="P35" s="446"/>
      <c r="Q35" s="446"/>
      <c r="R35" s="446"/>
      <c r="S35" s="446"/>
      <c r="T35" s="446"/>
      <c r="U35" s="446"/>
      <c r="V35" s="446"/>
      <c r="W35" s="446"/>
      <c r="X35" s="446"/>
      <c r="Y35" s="446"/>
      <c r="AI35" s="635"/>
      <c r="AT35" s="496"/>
    </row>
    <row r="36" spans="1:47" s="492" customFormat="1" ht="14.25" customHeight="1">
      <c r="A36" s="714"/>
      <c r="B36" s="711"/>
      <c r="C36" s="711"/>
      <c r="D36" s="711"/>
      <c r="E36" s="711"/>
      <c r="F36" s="723"/>
      <c r="G36" s="653"/>
      <c r="H36" s="599"/>
      <c r="I36" s="440"/>
      <c r="J36" s="600"/>
      <c r="K36" s="446"/>
      <c r="L36" s="163"/>
      <c r="M36" s="603"/>
      <c r="N36" s="604"/>
      <c r="O36" s="603"/>
      <c r="P36" s="446"/>
      <c r="Q36" s="446"/>
      <c r="R36" s="446"/>
      <c r="S36" s="446"/>
      <c r="T36" s="446"/>
      <c r="U36" s="446"/>
      <c r="V36" s="446"/>
      <c r="W36" s="446"/>
      <c r="X36" s="446"/>
      <c r="Y36" s="446"/>
      <c r="AI36" s="635"/>
      <c r="AT36" s="496"/>
    </row>
    <row r="37" spans="1:47" s="492" customFormat="1" ht="14.25" customHeight="1">
      <c r="A37" s="711"/>
      <c r="B37" s="711"/>
      <c r="C37" s="711"/>
      <c r="D37" s="711"/>
      <c r="E37" s="711"/>
      <c r="F37" s="715"/>
      <c r="G37" s="653"/>
      <c r="H37" s="599"/>
      <c r="I37" s="440"/>
      <c r="J37" s="600"/>
      <c r="K37" s="446"/>
      <c r="L37" s="163"/>
      <c r="M37" s="603"/>
      <c r="N37" s="604"/>
      <c r="O37" s="603"/>
      <c r="P37" s="446"/>
      <c r="Q37" s="446"/>
      <c r="R37" s="446"/>
      <c r="S37" s="446"/>
      <c r="T37" s="446"/>
      <c r="U37" s="446"/>
      <c r="V37" s="446"/>
      <c r="W37" s="446"/>
      <c r="X37" s="446"/>
      <c r="Y37" s="446"/>
      <c r="AI37" s="635"/>
      <c r="AT37" s="496"/>
    </row>
    <row r="38" spans="1:47" s="492" customFormat="1" ht="14.25" customHeight="1">
      <c r="A38" s="714"/>
      <c r="B38" s="711"/>
      <c r="C38" s="724"/>
      <c r="D38" s="711"/>
      <c r="E38" s="711"/>
      <c r="F38" s="725"/>
      <c r="G38" s="653"/>
      <c r="H38" s="599"/>
      <c r="I38" s="440"/>
      <c r="J38" s="600"/>
      <c r="K38" s="446"/>
      <c r="L38" s="163"/>
      <c r="M38" s="603"/>
      <c r="N38" s="604"/>
      <c r="O38" s="603"/>
      <c r="P38" s="446"/>
      <c r="Q38" s="446"/>
      <c r="R38" s="446"/>
      <c r="S38" s="446"/>
      <c r="T38" s="446"/>
      <c r="U38" s="446"/>
      <c r="V38" s="446"/>
      <c r="W38" s="446"/>
      <c r="X38" s="446"/>
      <c r="Y38" s="446"/>
      <c r="AI38" s="635"/>
      <c r="AT38" s="496"/>
    </row>
    <row r="39" spans="1:47">
      <c r="A39" s="716"/>
      <c r="B39" s="653"/>
      <c r="C39" s="653"/>
      <c r="D39" s="653"/>
      <c r="E39" s="653"/>
      <c r="F39" s="653"/>
      <c r="G39" s="717"/>
      <c r="H39"/>
      <c r="I39"/>
      <c r="J39"/>
      <c r="K39"/>
      <c r="L39"/>
      <c r="M39"/>
      <c r="N39"/>
      <c r="O39"/>
      <c r="AT39" s="115"/>
    </row>
    <row r="40" spans="1:47">
      <c r="A40" s="716"/>
      <c r="B40" s="653"/>
      <c r="C40" s="718"/>
      <c r="D40" s="653"/>
      <c r="E40" s="653"/>
      <c r="F40" s="653"/>
      <c r="G40" s="719"/>
      <c r="H40"/>
      <c r="I40"/>
      <c r="J40"/>
      <c r="K40"/>
      <c r="L40"/>
      <c r="M40"/>
      <c r="N40"/>
      <c r="O40"/>
      <c r="AT40" s="115"/>
      <c r="AU40" s="644"/>
    </row>
    <row r="41" spans="1:47">
      <c r="A41" s="716"/>
      <c r="B41" s="653"/>
      <c r="C41" s="718"/>
      <c r="D41" s="653"/>
      <c r="E41" s="653"/>
      <c r="F41" s="720"/>
      <c r="G41" s="719"/>
      <c r="H41"/>
      <c r="I41"/>
      <c r="J41"/>
      <c r="K41"/>
      <c r="L41"/>
      <c r="M41"/>
      <c r="N41"/>
      <c r="O41"/>
      <c r="AT41" s="115"/>
      <c r="AU41" s="644"/>
    </row>
    <row r="42" spans="1:47">
      <c r="A42" s="653"/>
      <c r="B42" s="653"/>
      <c r="C42" s="653"/>
      <c r="D42" s="653"/>
      <c r="E42" s="653"/>
      <c r="F42" s="720"/>
      <c r="G42" s="705"/>
      <c r="H42"/>
      <c r="I42"/>
      <c r="J42"/>
      <c r="K42"/>
      <c r="L42"/>
      <c r="M42"/>
      <c r="N42"/>
      <c r="O42"/>
      <c r="AT42" s="115"/>
      <c r="AU42" s="644"/>
    </row>
    <row r="43" spans="1:47">
      <c r="A43" s="653"/>
      <c r="B43" s="653"/>
      <c r="C43" s="653"/>
      <c r="D43" s="653"/>
      <c r="E43" s="653"/>
      <c r="F43" s="720"/>
      <c r="G43" s="705"/>
      <c r="H43"/>
      <c r="I43"/>
      <c r="J43"/>
      <c r="K43"/>
      <c r="L43"/>
      <c r="M43"/>
      <c r="N43"/>
      <c r="O43"/>
      <c r="AT43" s="115"/>
    </row>
    <row r="44" spans="1:47">
      <c r="A44" s="653"/>
      <c r="B44" s="653"/>
      <c r="C44" s="653"/>
      <c r="D44" s="653"/>
      <c r="E44" s="653"/>
      <c r="F44" s="720"/>
      <c r="G44" s="705"/>
      <c r="H44"/>
      <c r="I44"/>
      <c r="J44"/>
      <c r="K44"/>
      <c r="L44"/>
      <c r="M44"/>
      <c r="N44"/>
      <c r="O44"/>
      <c r="AT44" s="115"/>
    </row>
    <row r="45" spans="1:47" ht="12.5" customHeight="1">
      <c r="A45"/>
      <c r="B45"/>
      <c r="C45"/>
      <c r="D45"/>
      <c r="E45"/>
      <c r="F45"/>
      <c r="G45"/>
      <c r="H45"/>
      <c r="I45"/>
      <c r="J45"/>
      <c r="K45"/>
      <c r="L45"/>
      <c r="M45"/>
      <c r="N45"/>
      <c r="O45"/>
      <c r="AB45" s="640"/>
      <c r="AC45">
        <f>SUM(P45:AB45)</f>
        <v>0</v>
      </c>
      <c r="AI45"/>
      <c r="AM45" s="115"/>
    </row>
    <row r="46" spans="1:47">
      <c r="A46" s="653"/>
      <c r="B46" s="653"/>
      <c r="C46" s="653"/>
      <c r="D46" s="653"/>
      <c r="E46" s="653"/>
      <c r="F46" s="720"/>
      <c r="G46" s="720"/>
      <c r="H46"/>
      <c r="I46"/>
      <c r="J46"/>
      <c r="K46"/>
      <c r="L46"/>
      <c r="M46"/>
      <c r="N46"/>
      <c r="O46"/>
      <c r="AT46" s="115"/>
    </row>
    <row r="47" spans="1:47">
      <c r="A47" s="652"/>
      <c r="B47" s="653"/>
      <c r="C47" s="653"/>
      <c r="D47" s="653"/>
      <c r="E47" s="653"/>
      <c r="F47" s="720"/>
      <c r="G47" s="720"/>
      <c r="H47"/>
      <c r="I47"/>
      <c r="J47"/>
      <c r="K47"/>
      <c r="L47"/>
      <c r="M47"/>
      <c r="N47"/>
      <c r="O47"/>
      <c r="AT47" s="115"/>
    </row>
    <row r="48" spans="1:47">
      <c r="A48" s="652"/>
      <c r="B48" s="653"/>
      <c r="C48" s="653"/>
      <c r="D48" s="653"/>
      <c r="E48" s="653"/>
      <c r="F48" s="720"/>
      <c r="G48" s="720"/>
      <c r="H48"/>
      <c r="I48"/>
      <c r="J48"/>
      <c r="K48"/>
      <c r="L48"/>
      <c r="M48"/>
      <c r="N48"/>
      <c r="O48"/>
      <c r="AT48" s="115"/>
    </row>
    <row r="49" spans="1:46">
      <c r="A49" s="652"/>
      <c r="B49" s="653"/>
      <c r="C49" s="653"/>
      <c r="D49" s="653"/>
      <c r="E49" s="653"/>
      <c r="F49" s="720"/>
      <c r="G49" s="720"/>
      <c r="H49"/>
      <c r="I49"/>
      <c r="J49"/>
      <c r="K49"/>
      <c r="L49"/>
      <c r="M49"/>
      <c r="N49"/>
      <c r="O49"/>
      <c r="AT49" s="115"/>
    </row>
    <row r="50" spans="1:46">
      <c r="A50" s="652"/>
      <c r="B50" s="653"/>
      <c r="C50" s="653"/>
      <c r="D50" s="653"/>
      <c r="E50" s="653"/>
      <c r="F50" s="720"/>
      <c r="G50" s="720"/>
      <c r="H50"/>
      <c r="I50"/>
      <c r="J50"/>
      <c r="K50"/>
      <c r="L50"/>
      <c r="M50"/>
      <c r="N50"/>
      <c r="O50"/>
      <c r="AT50" s="115"/>
    </row>
    <row r="51" spans="1:46">
      <c r="A51" s="652"/>
      <c r="B51" s="653"/>
      <c r="C51" s="653"/>
      <c r="D51" s="653"/>
      <c r="E51" s="653"/>
      <c r="F51" s="720"/>
      <c r="G51" s="720"/>
      <c r="H51"/>
      <c r="I51"/>
      <c r="J51"/>
      <c r="K51"/>
      <c r="L51"/>
      <c r="M51"/>
      <c r="N51"/>
      <c r="O51"/>
      <c r="AT51" s="115"/>
    </row>
    <row r="52" spans="1:46">
      <c r="A52" s="440"/>
      <c r="F52" s="120"/>
      <c r="G52" s="120"/>
      <c r="H52"/>
      <c r="I52"/>
      <c r="J52"/>
      <c r="K52"/>
      <c r="L52"/>
      <c r="M52"/>
      <c r="N52"/>
      <c r="O52"/>
      <c r="AT52" s="115"/>
    </row>
    <row r="53" spans="1:46">
      <c r="A53" s="440"/>
      <c r="F53" s="120"/>
      <c r="G53" s="120"/>
      <c r="H53"/>
      <c r="I53"/>
      <c r="J53"/>
      <c r="K53"/>
      <c r="L53"/>
      <c r="M53"/>
      <c r="N53"/>
      <c r="O53"/>
      <c r="AT53" s="115"/>
    </row>
    <row r="54" spans="1:46">
      <c r="A54" s="440"/>
      <c r="F54" s="120"/>
      <c r="G54" s="120"/>
      <c r="H54"/>
      <c r="I54" s="120"/>
      <c r="J54" s="120"/>
      <c r="K54" s="120"/>
      <c r="L54" s="120"/>
      <c r="M54" s="120"/>
      <c r="N54" s="496"/>
      <c r="O54" s="120"/>
      <c r="AT54" s="115"/>
    </row>
    <row r="55" spans="1:46">
      <c r="A55" s="440"/>
      <c r="F55" s="120"/>
      <c r="G55" s="120"/>
      <c r="H55"/>
      <c r="I55" s="120"/>
      <c r="J55" s="120"/>
      <c r="K55" s="120"/>
      <c r="L55" s="120"/>
      <c r="M55" s="120"/>
      <c r="N55" s="496"/>
      <c r="O55" s="120"/>
      <c r="AT55" s="115"/>
    </row>
    <row r="56" spans="1:46">
      <c r="A56" s="440"/>
      <c r="F56" s="120"/>
      <c r="G56" s="120"/>
      <c r="H56" s="120"/>
      <c r="I56" s="120"/>
      <c r="J56" s="120"/>
      <c r="K56" s="120"/>
      <c r="L56" s="120"/>
      <c r="M56" s="120"/>
      <c r="N56" s="496"/>
      <c r="O56" s="120"/>
      <c r="P56" s="115"/>
      <c r="AT56" s="115"/>
    </row>
    <row r="57" spans="1:46">
      <c r="A57" s="440"/>
      <c r="F57" s="120"/>
      <c r="G57" s="120"/>
      <c r="H57" s="120"/>
      <c r="I57" s="120"/>
      <c r="J57" s="120"/>
      <c r="K57" s="120"/>
      <c r="L57" s="120"/>
      <c r="M57" s="120"/>
      <c r="N57" s="496"/>
      <c r="O57" s="120"/>
      <c r="P57" s="115"/>
      <c r="AT57" s="115"/>
    </row>
    <row r="58" spans="1:46">
      <c r="F58" s="120"/>
      <c r="G58" s="120"/>
      <c r="H58" s="120"/>
      <c r="P58" s="115"/>
      <c r="AT58" s="115"/>
    </row>
    <row r="59" spans="1:46">
      <c r="F59" s="120"/>
      <c r="G59" s="120"/>
      <c r="H59" s="120"/>
      <c r="P59" s="115"/>
      <c r="AT59" s="115"/>
    </row>
    <row r="60" spans="1:46">
      <c r="AT60" s="115"/>
    </row>
    <row r="61" spans="1:46">
      <c r="AT61" s="115"/>
    </row>
    <row r="62" spans="1:46">
      <c r="AT62" s="789"/>
    </row>
    <row r="63" spans="1:46">
      <c r="AT63" s="789"/>
    </row>
    <row r="64" spans="1:46">
      <c r="A64" s="492" t="s">
        <v>596</v>
      </c>
      <c r="AT64" s="791"/>
    </row>
    <row r="65" spans="37:46">
      <c r="AT65" s="115"/>
    </row>
    <row r="66" spans="37:46">
      <c r="AT66" s="115"/>
    </row>
    <row r="67" spans="37:46">
      <c r="AT67" s="115"/>
    </row>
    <row r="68" spans="37:46">
      <c r="AT68" s="115"/>
    </row>
    <row r="69" spans="37:46">
      <c r="AT69" s="115"/>
    </row>
    <row r="70" spans="37:46">
      <c r="AK70" s="644"/>
      <c r="AT70" s="115"/>
    </row>
    <row r="71" spans="37:46">
      <c r="AT71" s="115"/>
    </row>
    <row r="72" spans="37:46">
      <c r="AT72" s="115"/>
    </row>
    <row r="73" spans="37:46">
      <c r="AT73" s="115"/>
    </row>
    <row r="74" spans="37:46">
      <c r="AT74" s="115"/>
    </row>
    <row r="75" spans="37:46">
      <c r="AT75" s="115"/>
    </row>
    <row r="76" spans="37:46">
      <c r="AT76" s="115"/>
    </row>
    <row r="77" spans="37:46">
      <c r="AT77" s="115"/>
    </row>
    <row r="78" spans="37:46">
      <c r="AT78" s="115"/>
    </row>
    <row r="79" spans="37:46">
      <c r="AT79" s="115"/>
    </row>
    <row r="80" spans="37:46">
      <c r="AT80" s="115"/>
    </row>
    <row r="81" spans="1:46">
      <c r="AT81" s="115"/>
    </row>
    <row r="82" spans="1:46">
      <c r="AT82" s="115"/>
    </row>
    <row r="83" spans="1:46">
      <c r="A83" s="492" t="s">
        <v>596</v>
      </c>
      <c r="AT83" s="115"/>
    </row>
    <row r="84" spans="1:46">
      <c r="AA84">
        <f>AA90</f>
        <v>0</v>
      </c>
    </row>
  </sheetData>
  <mergeCells count="6">
    <mergeCell ref="G9:G10"/>
    <mergeCell ref="I1:M1"/>
    <mergeCell ref="I2:M2"/>
    <mergeCell ref="I3:M3"/>
    <mergeCell ref="A6:G6"/>
    <mergeCell ref="I4:M4"/>
  </mergeCells>
  <phoneticPr fontId="0" type="noConversion"/>
  <pageMargins left="0.75" right="0.5" top="0.72" bottom="0.84" header="0.5" footer="0.5"/>
  <pageSetup scale="72" orientation="portrait" r:id="rId1"/>
  <headerFooter scaleWithDoc="0" alignWithMargins="0">
    <oddHeader xml:space="preserve">&amp;RExhibit No. JH-3
Dockets UE-160228/UG-160229
Page &amp;P of &amp;N
Revised
</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V84"/>
  <sheetViews>
    <sheetView tabSelected="1" topLeftCell="AF35" zoomScale="115" zoomScaleNormal="115" zoomScaleSheetLayoutView="130" workbookViewId="0">
      <selection activeCell="B64" sqref="B64"/>
    </sheetView>
  </sheetViews>
  <sheetFormatPr defaultColWidth="9.1796875" defaultRowHeight="13"/>
  <cols>
    <col min="1" max="1" width="9.1796875" style="36"/>
    <col min="2" max="2" width="1.7265625" style="36" customWidth="1"/>
    <col min="3" max="3" width="42" style="36" customWidth="1"/>
    <col min="4" max="4" width="9.1796875" style="36"/>
    <col min="5" max="5" width="20.1796875" style="112" customWidth="1"/>
    <col min="6" max="9" width="9.1796875" style="36"/>
    <col min="10" max="10" width="19.81640625" style="36" bestFit="1" customWidth="1"/>
    <col min="11" max="11" width="11.81640625" style="36" customWidth="1"/>
    <col min="12" max="30" width="9.1796875" style="36"/>
    <col min="31" max="31" width="14.7265625" style="440" customWidth="1"/>
    <col min="32" max="32" width="13" style="440" customWidth="1"/>
    <col min="33" max="35" width="9.1796875" style="36"/>
    <col min="36" max="36" width="9.1796875" style="635"/>
    <col min="37" max="16384" width="9.1796875" style="36"/>
  </cols>
  <sheetData>
    <row r="1" spans="1:47" s="100" customFormat="1">
      <c r="A1" s="492"/>
      <c r="B1" s="492"/>
      <c r="C1" s="291" t="s">
        <v>114</v>
      </c>
      <c r="D1" s="103"/>
      <c r="E1" s="898"/>
      <c r="F1" s="140"/>
      <c r="G1" s="332"/>
      <c r="H1" s="332"/>
      <c r="I1" s="332"/>
      <c r="J1" s="492"/>
      <c r="K1" s="140"/>
      <c r="L1" s="140"/>
      <c r="Q1" s="940"/>
      <c r="R1" s="940"/>
      <c r="S1" s="940"/>
      <c r="T1" s="940"/>
      <c r="U1" s="940"/>
      <c r="V1" s="940"/>
      <c r="W1" s="940"/>
      <c r="AE1" s="893"/>
      <c r="AF1" s="893"/>
      <c r="AJ1" s="639"/>
    </row>
    <row r="2" spans="1:47" s="100" customFormat="1">
      <c r="A2" s="140"/>
      <c r="B2" s="492"/>
      <c r="C2" s="291" t="s">
        <v>164</v>
      </c>
      <c r="D2" s="103"/>
      <c r="E2" s="899"/>
      <c r="F2" s="140"/>
      <c r="G2" s="140"/>
      <c r="H2" s="140"/>
      <c r="I2" s="140"/>
      <c r="J2" s="492"/>
      <c r="K2" s="140"/>
      <c r="L2" s="140"/>
      <c r="Q2" s="940"/>
      <c r="R2" s="940"/>
      <c r="S2" s="940"/>
      <c r="T2" s="940"/>
      <c r="U2" s="940"/>
      <c r="V2" s="940"/>
      <c r="W2" s="940"/>
      <c r="AE2" s="893"/>
      <c r="AF2" s="893"/>
      <c r="AJ2" s="639"/>
    </row>
    <row r="3" spans="1:47" s="100" customFormat="1">
      <c r="A3" s="140"/>
      <c r="B3" s="492"/>
      <c r="C3" s="129" t="s">
        <v>468</v>
      </c>
      <c r="D3" s="103"/>
      <c r="E3" s="899"/>
      <c r="F3" s="140"/>
      <c r="G3" s="140"/>
      <c r="H3" s="140"/>
      <c r="I3" s="140"/>
      <c r="J3" s="492"/>
      <c r="K3" s="140"/>
      <c r="L3" s="140"/>
      <c r="Q3" s="331"/>
      <c r="R3" s="331"/>
      <c r="S3" s="331"/>
      <c r="T3" s="331"/>
      <c r="U3" s="331"/>
      <c r="V3" s="331"/>
      <c r="W3" s="331"/>
      <c r="AE3" s="893"/>
      <c r="AF3" s="893"/>
      <c r="AJ3" s="639"/>
    </row>
    <row r="4" spans="1:47">
      <c r="A4" s="492"/>
      <c r="B4" s="128"/>
      <c r="C4" s="291" t="str">
        <f>ROO!A4</f>
        <v>TWELVE MONTHS ENDED SEPTEMBER 30, 2015</v>
      </c>
      <c r="D4" s="128"/>
      <c r="E4" s="128"/>
      <c r="F4" s="128"/>
      <c r="G4" s="128"/>
      <c r="H4" s="128"/>
      <c r="I4" s="128"/>
      <c r="J4" s="128"/>
      <c r="K4" s="128"/>
      <c r="L4" s="128"/>
      <c r="M4" s="128"/>
      <c r="N4" s="99"/>
      <c r="O4" s="99"/>
      <c r="P4" s="99"/>
    </row>
    <row r="5" spans="1:47">
      <c r="A5" s="492"/>
      <c r="B5" s="492"/>
      <c r="C5" s="42"/>
      <c r="D5" s="346"/>
      <c r="F5" s="492"/>
      <c r="G5" s="492"/>
      <c r="H5" s="492"/>
      <c r="I5" s="492"/>
      <c r="J5" s="492"/>
      <c r="K5" s="492"/>
      <c r="L5" s="492"/>
      <c r="AD5" s="120"/>
      <c r="AE5" s="446"/>
      <c r="AF5" s="446"/>
      <c r="AG5" s="120"/>
      <c r="AH5" s="120"/>
      <c r="AI5" s="120"/>
      <c r="AJ5" s="638"/>
      <c r="AK5" s="120"/>
      <c r="AL5" s="120"/>
      <c r="AM5" s="120"/>
      <c r="AN5" s="120"/>
      <c r="AO5" s="120"/>
      <c r="AP5" s="120"/>
      <c r="AQ5" s="120"/>
      <c r="AR5" s="120"/>
    </row>
    <row r="6" spans="1:47">
      <c r="A6" s="42"/>
      <c r="B6" s="492"/>
      <c r="C6" s="102"/>
      <c r="D6" s="346"/>
      <c r="E6" s="103"/>
      <c r="F6" s="492"/>
      <c r="G6" s="492"/>
      <c r="H6" s="492"/>
      <c r="I6" s="492"/>
      <c r="J6" s="492"/>
      <c r="K6" s="492"/>
      <c r="L6" s="492"/>
      <c r="P6" s="120"/>
      <c r="Y6" s="120"/>
      <c r="Z6" s="120"/>
      <c r="AD6" s="120"/>
      <c r="AE6" s="446"/>
      <c r="AF6" s="446"/>
      <c r="AG6" s="120"/>
      <c r="AH6" s="120"/>
      <c r="AI6" s="120"/>
      <c r="AJ6" s="638"/>
      <c r="AK6" s="120"/>
      <c r="AL6" s="608"/>
      <c r="AM6" s="608"/>
      <c r="AN6" s="608"/>
      <c r="AO6" s="608"/>
      <c r="AP6" s="608"/>
      <c r="AQ6" s="608"/>
      <c r="AR6" s="608"/>
      <c r="AS6" s="608"/>
      <c r="AT6" s="608"/>
    </row>
    <row r="7" spans="1:47">
      <c r="A7" s="42"/>
      <c r="B7" s="492"/>
      <c r="C7" s="102"/>
      <c r="D7" s="346"/>
      <c r="E7" s="103"/>
      <c r="F7" s="492"/>
      <c r="G7" s="492"/>
      <c r="H7" s="492"/>
      <c r="I7" s="492"/>
      <c r="J7" s="492"/>
      <c r="K7" s="492"/>
      <c r="L7" s="492"/>
    </row>
    <row r="8" spans="1:47">
      <c r="A8" s="42"/>
      <c r="B8" s="492"/>
      <c r="C8" s="346"/>
      <c r="D8" s="346"/>
      <c r="E8" s="157"/>
      <c r="F8" s="158"/>
      <c r="G8" s="158"/>
      <c r="H8" s="492"/>
      <c r="I8" s="492"/>
      <c r="J8" s="492"/>
      <c r="K8" s="492"/>
      <c r="L8" s="492"/>
    </row>
    <row r="9" spans="1:47">
      <c r="A9" s="42" t="s">
        <v>137</v>
      </c>
      <c r="B9" s="492"/>
      <c r="C9" s="42"/>
      <c r="D9" s="346"/>
      <c r="E9" s="42"/>
      <c r="F9" s="492"/>
      <c r="G9" s="492"/>
      <c r="H9" s="492"/>
      <c r="I9" s="492"/>
      <c r="J9" s="114" t="s">
        <v>166</v>
      </c>
      <c r="K9" s="492"/>
      <c r="L9" s="492"/>
      <c r="M9" s="47"/>
      <c r="N9" s="47"/>
      <c r="O9" s="47"/>
      <c r="P9" s="47"/>
    </row>
    <row r="10" spans="1:47">
      <c r="A10" s="44" t="s">
        <v>17</v>
      </c>
      <c r="B10" s="492"/>
      <c r="C10" s="44" t="s">
        <v>73</v>
      </c>
      <c r="D10" s="346"/>
      <c r="E10" s="44" t="s">
        <v>155</v>
      </c>
      <c r="F10" s="492"/>
      <c r="G10" s="492"/>
      <c r="H10" s="492"/>
      <c r="I10" s="492"/>
      <c r="J10" s="492"/>
      <c r="K10" s="492"/>
      <c r="L10" s="492"/>
      <c r="M10" s="47"/>
      <c r="N10" s="47"/>
      <c r="O10" s="47"/>
      <c r="P10" s="47"/>
      <c r="AJ10" s="637"/>
    </row>
    <row r="11" spans="1:47">
      <c r="A11" s="42"/>
      <c r="B11" s="492"/>
      <c r="C11" s="346"/>
      <c r="D11" s="346"/>
      <c r="E11" s="346"/>
      <c r="F11" s="492"/>
      <c r="G11" s="492"/>
      <c r="H11" s="492"/>
      <c r="I11" s="492"/>
      <c r="J11" s="492" t="s">
        <v>571</v>
      </c>
      <c r="K11" s="492" t="s">
        <v>572</v>
      </c>
      <c r="L11" s="492"/>
      <c r="M11" s="47"/>
      <c r="N11" s="47"/>
      <c r="O11" s="47"/>
      <c r="P11" s="47"/>
    </row>
    <row r="12" spans="1:47">
      <c r="A12" s="841">
        <v>1</v>
      </c>
      <c r="B12" s="492"/>
      <c r="C12" s="103" t="s">
        <v>156</v>
      </c>
      <c r="D12" s="346"/>
      <c r="E12" s="346">
        <v>1</v>
      </c>
      <c r="F12" s="492"/>
      <c r="G12" s="492"/>
      <c r="H12" s="492"/>
      <c r="I12" s="492"/>
      <c r="J12" s="104">
        <f>'RR SUMMARY'!F24</f>
        <v>2143</v>
      </c>
      <c r="K12" s="104">
        <f>+'ADJ DETAIL INPUT'!AV83</f>
        <v>2143.4262204621168</v>
      </c>
      <c r="L12" s="492"/>
      <c r="M12" s="47"/>
      <c r="N12" s="333"/>
      <c r="O12" s="47"/>
      <c r="P12" s="47"/>
    </row>
    <row r="13" spans="1:47">
      <c r="A13" s="841"/>
      <c r="B13" s="492"/>
      <c r="C13" s="103"/>
      <c r="D13" s="346"/>
      <c r="E13" s="346"/>
      <c r="F13" s="492"/>
      <c r="G13" s="492"/>
      <c r="H13" s="492"/>
      <c r="I13" s="492"/>
      <c r="J13" s="492"/>
      <c r="K13" s="492"/>
      <c r="L13" s="492"/>
      <c r="M13" s="47"/>
      <c r="N13" s="47"/>
      <c r="O13" s="47"/>
      <c r="P13" s="47"/>
    </row>
    <row r="14" spans="1:47">
      <c r="A14" s="841"/>
      <c r="B14" s="492"/>
      <c r="C14" s="103" t="s">
        <v>157</v>
      </c>
      <c r="D14" s="346"/>
      <c r="E14" s="346"/>
      <c r="F14" s="492"/>
      <c r="G14" s="492"/>
      <c r="H14" s="492"/>
      <c r="I14" s="492"/>
      <c r="J14" s="492"/>
      <c r="K14" s="492"/>
      <c r="L14" s="492"/>
      <c r="M14" s="47"/>
      <c r="N14" s="47"/>
      <c r="O14" s="47"/>
      <c r="P14" s="47"/>
      <c r="AK14" s="440"/>
      <c r="AU14" s="496"/>
    </row>
    <row r="15" spans="1:47">
      <c r="A15" s="841">
        <v>2</v>
      </c>
      <c r="B15" s="40"/>
      <c r="C15" s="346" t="s">
        <v>158</v>
      </c>
      <c r="D15" s="346"/>
      <c r="E15" s="454">
        <v>5.8554378217771557E-3</v>
      </c>
      <c r="F15" s="492"/>
      <c r="G15" s="492"/>
      <c r="H15" s="492"/>
      <c r="I15" s="492"/>
      <c r="J15" s="105">
        <f>ROUND($J$12*E15,0)</f>
        <v>13</v>
      </c>
      <c r="K15" s="105">
        <f>ROUND($K$12*E15,0)</f>
        <v>13</v>
      </c>
      <c r="L15" s="492"/>
      <c r="M15" s="47"/>
      <c r="N15" s="108"/>
      <c r="O15" s="47"/>
      <c r="P15" s="47"/>
      <c r="AK15" s="440"/>
      <c r="AU15" s="496"/>
    </row>
    <row r="16" spans="1:47">
      <c r="A16" s="841"/>
      <c r="B16" s="492"/>
      <c r="C16" s="346"/>
      <c r="D16" s="346"/>
      <c r="E16" s="454"/>
      <c r="F16" s="492"/>
      <c r="G16" s="492"/>
      <c r="H16" s="492"/>
      <c r="I16" s="492"/>
      <c r="J16" s="492"/>
      <c r="K16" s="492"/>
      <c r="L16" s="492"/>
      <c r="M16" s="47"/>
      <c r="N16" s="47"/>
      <c r="O16" s="47"/>
      <c r="P16" s="47"/>
      <c r="AK16" s="440"/>
      <c r="AU16" s="496"/>
    </row>
    <row r="17" spans="1:47">
      <c r="A17" s="841">
        <v>3</v>
      </c>
      <c r="B17" s="492"/>
      <c r="C17" s="346" t="s">
        <v>159</v>
      </c>
      <c r="D17" s="346"/>
      <c r="E17" s="785">
        <v>2E-3</v>
      </c>
      <c r="F17" s="492"/>
      <c r="G17" s="492"/>
      <c r="H17" s="492"/>
      <c r="I17" s="492"/>
      <c r="J17" s="105">
        <f>ROUND($J$12*E17,0)</f>
        <v>4</v>
      </c>
      <c r="K17" s="105">
        <f>ROUND($K$12*E17,0)</f>
        <v>4</v>
      </c>
      <c r="L17" s="492"/>
      <c r="M17" s="47"/>
      <c r="N17" s="108"/>
      <c r="O17" s="47"/>
      <c r="P17" s="47"/>
      <c r="AK17" s="440"/>
      <c r="AU17" s="496"/>
    </row>
    <row r="18" spans="1:47">
      <c r="A18" s="841"/>
      <c r="B18" s="492"/>
      <c r="C18" s="346"/>
      <c r="D18" s="346"/>
      <c r="E18" s="454"/>
      <c r="F18" s="492"/>
      <c r="G18" s="492"/>
      <c r="H18" s="492"/>
      <c r="I18" s="492"/>
      <c r="J18" s="492"/>
      <c r="K18" s="492"/>
      <c r="L18" s="492"/>
      <c r="M18" s="47"/>
      <c r="N18" s="47"/>
      <c r="O18" s="47"/>
      <c r="P18" s="47"/>
      <c r="AK18" s="440"/>
      <c r="AU18" s="496"/>
    </row>
    <row r="19" spans="1:47">
      <c r="A19" s="841">
        <v>4</v>
      </c>
      <c r="B19" s="492"/>
      <c r="C19" s="346" t="s">
        <v>160</v>
      </c>
      <c r="D19" s="346"/>
      <c r="E19" s="454">
        <v>3.8294448535105143E-2</v>
      </c>
      <c r="F19" s="492"/>
      <c r="G19" s="492"/>
      <c r="H19" s="492"/>
      <c r="I19" s="492"/>
      <c r="J19" s="105">
        <f>ROUND($J$12*E19,0)</f>
        <v>82</v>
      </c>
      <c r="K19" s="105">
        <f>ROUND($K$12*E19,0)</f>
        <v>82</v>
      </c>
      <c r="L19" s="492"/>
      <c r="M19" s="47"/>
      <c r="N19" s="108"/>
      <c r="O19" s="47"/>
      <c r="P19" s="47"/>
      <c r="AK19" s="440"/>
      <c r="AU19" s="496"/>
    </row>
    <row r="20" spans="1:47">
      <c r="A20" s="841"/>
      <c r="B20" s="492"/>
      <c r="C20" s="346"/>
      <c r="D20" s="346"/>
      <c r="E20" s="113"/>
      <c r="F20" s="492"/>
      <c r="G20" s="492"/>
      <c r="H20" s="492"/>
      <c r="I20" s="492"/>
      <c r="J20" s="492"/>
      <c r="K20" s="492"/>
      <c r="L20" s="492"/>
      <c r="M20" s="47"/>
      <c r="N20" s="47"/>
      <c r="O20" s="47"/>
      <c r="P20" s="47"/>
      <c r="AK20" s="440"/>
      <c r="AU20" s="496"/>
    </row>
    <row r="21" spans="1:47">
      <c r="A21" s="841">
        <v>5</v>
      </c>
      <c r="B21" s="492"/>
      <c r="C21" s="346" t="s">
        <v>161</v>
      </c>
      <c r="D21" s="346"/>
      <c r="E21" s="347">
        <f>SUM(E15:E19)</f>
        <v>4.6149886356882303E-2</v>
      </c>
      <c r="F21" s="492"/>
      <c r="G21" s="492"/>
      <c r="H21" s="492"/>
      <c r="I21" s="492"/>
      <c r="J21" s="107">
        <f>SUM(J15:J20)</f>
        <v>99</v>
      </c>
      <c r="K21" s="107">
        <f>SUM(K15:K20)</f>
        <v>99</v>
      </c>
      <c r="L21" s="492"/>
      <c r="M21" s="47"/>
      <c r="N21" s="108"/>
      <c r="O21" s="47"/>
      <c r="P21" s="47"/>
      <c r="AK21" s="440"/>
      <c r="AU21" s="496"/>
    </row>
    <row r="22" spans="1:47">
      <c r="A22" s="841"/>
      <c r="B22" s="492"/>
      <c r="C22" s="346"/>
      <c r="D22" s="346"/>
      <c r="E22" s="346"/>
      <c r="F22" s="492"/>
      <c r="G22" s="492"/>
      <c r="H22" s="492"/>
      <c r="I22" s="492"/>
      <c r="J22" s="108"/>
      <c r="K22" s="108"/>
      <c r="L22" s="492"/>
      <c r="M22" s="47"/>
      <c r="N22" s="108"/>
      <c r="O22" s="47"/>
      <c r="P22" s="47"/>
      <c r="AK22" s="440"/>
      <c r="AU22" s="496"/>
    </row>
    <row r="23" spans="1:47">
      <c r="A23" s="841">
        <v>6</v>
      </c>
      <c r="B23" s="492"/>
      <c r="C23" s="346" t="s">
        <v>162</v>
      </c>
      <c r="D23" s="346"/>
      <c r="E23" s="346">
        <f>E12-E21</f>
        <v>0.95385011364311767</v>
      </c>
      <c r="F23" s="492"/>
      <c r="G23" s="492"/>
      <c r="H23" s="492"/>
      <c r="I23" s="492"/>
      <c r="J23" s="108">
        <f>J12-J21</f>
        <v>2044</v>
      </c>
      <c r="K23" s="108">
        <f>K12-K21</f>
        <v>2044.4262204621168</v>
      </c>
      <c r="L23" s="492"/>
      <c r="M23" s="47"/>
      <c r="N23" s="108"/>
      <c r="O23" s="47"/>
      <c r="P23" s="47"/>
      <c r="AK23" s="440"/>
      <c r="AU23" s="496"/>
    </row>
    <row r="24" spans="1:47">
      <c r="A24" s="841"/>
      <c r="B24" s="492"/>
      <c r="C24" s="346"/>
      <c r="D24" s="346"/>
      <c r="E24" s="346"/>
      <c r="F24" s="492"/>
      <c r="G24" s="492"/>
      <c r="H24" s="492"/>
      <c r="I24" s="492"/>
      <c r="J24" s="492"/>
      <c r="K24" s="492"/>
      <c r="L24" s="492"/>
      <c r="M24" s="47"/>
      <c r="N24" s="47"/>
      <c r="O24" s="47"/>
      <c r="P24" s="47"/>
      <c r="AK24" s="440"/>
      <c r="AU24" s="496"/>
    </row>
    <row r="25" spans="1:47">
      <c r="A25" s="841">
        <v>7</v>
      </c>
      <c r="B25" s="492"/>
      <c r="C25" s="346" t="s">
        <v>163</v>
      </c>
      <c r="D25" s="109"/>
      <c r="E25" s="346">
        <f>E23*0.35</f>
        <v>0.33384753977509118</v>
      </c>
      <c r="F25" s="492"/>
      <c r="G25" s="492"/>
      <c r="H25" s="492"/>
      <c r="I25" s="492"/>
      <c r="J25" s="110">
        <f>ROUND(J23*0.35,0)</f>
        <v>715</v>
      </c>
      <c r="K25" s="110">
        <f>ROUND(K23*0.35,0)</f>
        <v>716</v>
      </c>
      <c r="L25" s="492"/>
      <c r="M25" s="47"/>
      <c r="N25" s="108"/>
      <c r="O25" s="47"/>
      <c r="P25" s="47"/>
      <c r="AK25" s="440"/>
      <c r="AU25" s="496"/>
    </row>
    <row r="26" spans="1:47">
      <c r="A26" s="492"/>
      <c r="B26" s="492"/>
      <c r="C26" s="346"/>
      <c r="D26" s="346"/>
      <c r="E26" s="346"/>
      <c r="F26" s="492"/>
      <c r="G26" s="492"/>
      <c r="H26" s="492"/>
      <c r="I26" s="492"/>
      <c r="J26" s="492"/>
      <c r="K26" s="492"/>
      <c r="L26" s="492"/>
      <c r="M26" s="47"/>
      <c r="N26" s="47"/>
      <c r="O26" s="47"/>
      <c r="P26" s="47"/>
      <c r="AU26" s="496"/>
    </row>
    <row r="27" spans="1:47" ht="13.5" thickBot="1">
      <c r="A27" s="841">
        <v>8</v>
      </c>
      <c r="B27" s="492"/>
      <c r="C27" s="103" t="s">
        <v>164</v>
      </c>
      <c r="D27" s="346"/>
      <c r="E27" s="103">
        <f>ROUND(E23-E25,6)</f>
        <v>0.62000299999999997</v>
      </c>
      <c r="F27" s="492"/>
      <c r="G27" s="492"/>
      <c r="H27" s="492"/>
      <c r="I27" s="492"/>
      <c r="J27" s="111">
        <f>J23-J25</f>
        <v>1329</v>
      </c>
      <c r="K27" s="111">
        <f>K23-K25</f>
        <v>1328.4262204621168</v>
      </c>
      <c r="L27" s="492"/>
      <c r="M27" s="47"/>
      <c r="N27" s="334"/>
      <c r="O27" s="47"/>
      <c r="P27" s="47"/>
      <c r="AU27" s="496"/>
    </row>
    <row r="28" spans="1:47" ht="13.5" customHeight="1" thickTop="1">
      <c r="A28" s="492"/>
      <c r="B28" s="492"/>
      <c r="C28" s="346"/>
      <c r="D28" s="346"/>
      <c r="F28" s="942"/>
      <c r="G28" s="942"/>
      <c r="H28" s="942"/>
      <c r="I28" s="492"/>
      <c r="J28" s="492"/>
      <c r="K28" s="492"/>
      <c r="L28" s="492"/>
      <c r="M28" s="47"/>
      <c r="N28" s="47"/>
      <c r="O28" s="47"/>
      <c r="P28" s="47"/>
      <c r="AU28" s="496"/>
    </row>
    <row r="29" spans="1:47">
      <c r="A29" s="492"/>
      <c r="B29" s="492"/>
      <c r="C29" s="592"/>
      <c r="D29" s="346"/>
      <c r="F29" s="942"/>
      <c r="G29" s="942"/>
      <c r="H29" s="942"/>
      <c r="I29" s="492"/>
      <c r="J29" s="105">
        <f>J27/E27</f>
        <v>2143.5380151386366</v>
      </c>
      <c r="K29" s="105">
        <f>K27/E27</f>
        <v>2142.6125687490494</v>
      </c>
      <c r="L29" s="492" t="s">
        <v>447</v>
      </c>
      <c r="M29" s="47"/>
      <c r="N29" s="47"/>
      <c r="O29" s="47"/>
      <c r="P29" s="47"/>
      <c r="AU29" s="496"/>
    </row>
    <row r="30" spans="1:47">
      <c r="A30" s="492"/>
      <c r="B30" s="492"/>
      <c r="C30" s="346"/>
      <c r="D30" s="346"/>
      <c r="F30" s="942"/>
      <c r="G30" s="942"/>
      <c r="H30" s="942"/>
      <c r="I30" s="492"/>
      <c r="J30" s="57">
        <f>J29-'RR SUMMARY'!F24</f>
        <v>0.53801513863663786</v>
      </c>
      <c r="K30" s="589">
        <f>K29-'ADJ DETAIL INPUT'!AV83</f>
        <v>-0.81365171306742923</v>
      </c>
      <c r="L30" s="492" t="s">
        <v>85</v>
      </c>
      <c r="M30" s="47"/>
      <c r="N30" s="47"/>
      <c r="O30" s="47"/>
      <c r="P30" s="47"/>
      <c r="AU30" s="496"/>
    </row>
    <row r="31" spans="1:47">
      <c r="A31" s="492"/>
      <c r="B31" s="492"/>
      <c r="C31" s="346"/>
      <c r="D31" s="346"/>
      <c r="F31" s="492"/>
      <c r="G31" s="492"/>
      <c r="H31" s="492"/>
      <c r="I31" s="492"/>
      <c r="J31" s="492"/>
      <c r="K31" s="492"/>
      <c r="L31" s="492"/>
      <c r="M31" s="47"/>
      <c r="N31" s="47"/>
      <c r="O31" s="47"/>
      <c r="P31" s="47"/>
      <c r="AU31" s="496"/>
    </row>
    <row r="32" spans="1:47">
      <c r="A32" s="492"/>
      <c r="B32" s="492"/>
      <c r="C32" s="346"/>
      <c r="D32" s="346"/>
      <c r="F32" s="492"/>
      <c r="G32" s="492"/>
      <c r="H32" s="492"/>
      <c r="I32" s="492"/>
      <c r="J32" s="492"/>
      <c r="K32" s="492"/>
      <c r="L32" s="492"/>
      <c r="M32" s="47"/>
      <c r="N32" s="47"/>
      <c r="O32" s="47"/>
      <c r="P32" s="47"/>
      <c r="AU32" s="496"/>
    </row>
    <row r="33" spans="1:48">
      <c r="A33" s="492"/>
      <c r="B33" s="492"/>
      <c r="C33" s="346"/>
      <c r="D33" s="346"/>
      <c r="F33" s="492"/>
      <c r="G33" s="492"/>
      <c r="H33" s="492"/>
      <c r="I33" s="492"/>
      <c r="J33" s="492"/>
      <c r="K33" s="492"/>
      <c r="L33" s="492"/>
      <c r="M33" s="47"/>
      <c r="N33" s="47"/>
      <c r="O33" s="47"/>
      <c r="P33" s="47"/>
      <c r="AU33" s="496"/>
    </row>
    <row r="34" spans="1:48">
      <c r="A34" s="492" t="s">
        <v>596</v>
      </c>
      <c r="B34" s="492"/>
      <c r="C34" s="346"/>
      <c r="D34" s="346"/>
      <c r="F34" s="492"/>
      <c r="G34" s="492"/>
      <c r="H34" s="492"/>
      <c r="I34" s="492"/>
      <c r="J34" s="492"/>
      <c r="K34" s="492"/>
      <c r="L34" s="492"/>
      <c r="M34" s="47"/>
      <c r="N34" s="47"/>
      <c r="O34" s="47"/>
      <c r="P34" s="47"/>
      <c r="AU34" s="496"/>
    </row>
    <row r="35" spans="1:48">
      <c r="A35" s="492"/>
      <c r="B35" s="492"/>
      <c r="C35" s="346"/>
      <c r="D35" s="346"/>
      <c r="F35" s="492"/>
      <c r="G35" s="492"/>
      <c r="H35" s="492"/>
      <c r="I35" s="492"/>
      <c r="J35" s="492"/>
      <c r="K35" s="492"/>
      <c r="L35" s="492"/>
      <c r="AU35" s="496"/>
    </row>
    <row r="36" spans="1:48">
      <c r="A36" s="492"/>
      <c r="B36" s="492"/>
      <c r="C36" s="346"/>
      <c r="D36" s="346"/>
      <c r="F36" s="492"/>
      <c r="G36" s="492"/>
      <c r="H36" s="492"/>
      <c r="I36" s="492"/>
      <c r="J36" s="492"/>
      <c r="K36" s="492"/>
      <c r="L36" s="492"/>
      <c r="AU36" s="496"/>
    </row>
    <row r="37" spans="1:48">
      <c r="A37" s="492"/>
      <c r="B37" s="492"/>
      <c r="C37" s="346"/>
      <c r="D37" s="346"/>
      <c r="F37" s="492"/>
      <c r="G37" s="492"/>
      <c r="H37" s="492"/>
      <c r="I37" s="492"/>
      <c r="J37" s="492"/>
      <c r="K37" s="492"/>
      <c r="L37" s="492"/>
      <c r="AU37" s="496"/>
    </row>
    <row r="38" spans="1:48">
      <c r="C38" s="106"/>
      <c r="D38" s="101"/>
      <c r="AU38" s="496"/>
    </row>
    <row r="39" spans="1:48">
      <c r="C39" s="101"/>
      <c r="D39" s="101"/>
      <c r="AU39" s="496"/>
    </row>
    <row r="40" spans="1:48">
      <c r="C40" s="101"/>
      <c r="D40" s="101"/>
      <c r="AU40" s="496"/>
      <c r="AV40" s="440"/>
    </row>
    <row r="41" spans="1:48">
      <c r="C41" s="101"/>
      <c r="D41" s="101"/>
      <c r="AU41" s="496"/>
      <c r="AV41" s="440"/>
    </row>
    <row r="42" spans="1:48">
      <c r="C42" s="101"/>
      <c r="D42" s="101"/>
      <c r="AU42" s="496"/>
      <c r="AV42" s="440"/>
    </row>
    <row r="43" spans="1:48">
      <c r="C43" s="101"/>
      <c r="D43" s="101"/>
      <c r="AU43" s="496"/>
    </row>
    <row r="44" spans="1:48">
      <c r="C44" s="101"/>
      <c r="AU44" s="496"/>
    </row>
    <row r="45" spans="1:48">
      <c r="C45" s="101"/>
      <c r="AU45" s="496"/>
    </row>
    <row r="46" spans="1:48">
      <c r="C46" s="101"/>
      <c r="D46" s="101"/>
      <c r="AU46" s="496"/>
    </row>
    <row r="47" spans="1:48">
      <c r="A47" s="440"/>
      <c r="C47" s="101"/>
      <c r="D47" s="101"/>
      <c r="AU47" s="496"/>
    </row>
    <row r="48" spans="1:48">
      <c r="A48" s="440"/>
      <c r="C48" s="101"/>
      <c r="D48" s="101"/>
      <c r="AU48" s="496"/>
    </row>
    <row r="49" spans="1:47">
      <c r="A49" s="440"/>
      <c r="C49" s="101"/>
      <c r="D49" s="101"/>
      <c r="AU49" s="496"/>
    </row>
    <row r="50" spans="1:47">
      <c r="A50" s="440"/>
      <c r="C50" s="101"/>
      <c r="D50" s="101"/>
      <c r="AU50" s="496"/>
    </row>
    <row r="51" spans="1:47">
      <c r="A51" s="440"/>
      <c r="C51" s="101"/>
      <c r="D51" s="101"/>
      <c r="AU51" s="496"/>
    </row>
    <row r="52" spans="1:47">
      <c r="A52" s="440"/>
      <c r="C52" s="101"/>
      <c r="D52" s="101"/>
      <c r="AU52" s="496"/>
    </row>
    <row r="53" spans="1:47">
      <c r="A53" s="440"/>
      <c r="D53" s="101"/>
      <c r="AU53" s="496"/>
    </row>
    <row r="54" spans="1:47">
      <c r="A54" s="440"/>
      <c r="C54" s="101"/>
      <c r="D54" s="101"/>
      <c r="AU54" s="496"/>
    </row>
    <row r="55" spans="1:47">
      <c r="A55" s="440"/>
      <c r="C55" s="101"/>
      <c r="D55" s="101"/>
      <c r="AU55" s="496"/>
    </row>
    <row r="56" spans="1:47">
      <c r="A56" s="440"/>
      <c r="AU56" s="496"/>
    </row>
    <row r="57" spans="1:47">
      <c r="A57" s="440"/>
      <c r="AU57" s="496"/>
    </row>
    <row r="58" spans="1:47">
      <c r="AU58" s="496"/>
    </row>
    <row r="59" spans="1:47">
      <c r="AU59" s="496"/>
    </row>
    <row r="60" spans="1:47">
      <c r="AU60" s="496"/>
    </row>
    <row r="61" spans="1:47">
      <c r="AU61" s="496"/>
    </row>
    <row r="62" spans="1:47">
      <c r="AU62" s="788"/>
    </row>
    <row r="63" spans="1:47">
      <c r="AU63" s="788"/>
    </row>
    <row r="64" spans="1:47">
      <c r="A64" s="492" t="s">
        <v>596</v>
      </c>
      <c r="AU64" s="790"/>
    </row>
    <row r="65" spans="38:47">
      <c r="AU65" s="496"/>
    </row>
    <row r="66" spans="38:47">
      <c r="AU66" s="496"/>
    </row>
    <row r="67" spans="38:47">
      <c r="AU67" s="496"/>
    </row>
    <row r="68" spans="38:47">
      <c r="AU68" s="496"/>
    </row>
    <row r="69" spans="38:47">
      <c r="AU69" s="496"/>
    </row>
    <row r="70" spans="38:47">
      <c r="AL70" s="440"/>
      <c r="AU70" s="496"/>
    </row>
    <row r="71" spans="38:47">
      <c r="AU71" s="496"/>
    </row>
    <row r="72" spans="38:47">
      <c r="AU72" s="496"/>
    </row>
    <row r="73" spans="38:47">
      <c r="AU73" s="496"/>
    </row>
    <row r="74" spans="38:47">
      <c r="AU74" s="496"/>
    </row>
    <row r="75" spans="38:47">
      <c r="AU75" s="496"/>
    </row>
    <row r="76" spans="38:47">
      <c r="AU76" s="496"/>
    </row>
    <row r="77" spans="38:47">
      <c r="AU77" s="496"/>
    </row>
    <row r="78" spans="38:47">
      <c r="AU78" s="496"/>
    </row>
    <row r="79" spans="38:47">
      <c r="AU79" s="496"/>
    </row>
    <row r="80" spans="38:47">
      <c r="AU80" s="496"/>
    </row>
    <row r="81" spans="1:47">
      <c r="AE81" s="890"/>
      <c r="AF81" s="891"/>
      <c r="AU81" s="496"/>
    </row>
    <row r="82" spans="1:47">
      <c r="AU82" s="496"/>
    </row>
    <row r="83" spans="1:47">
      <c r="A83" s="496" t="s">
        <v>596</v>
      </c>
      <c r="AU83" s="496"/>
    </row>
    <row r="84" spans="1:47">
      <c r="A84" s="836" t="s">
        <v>585</v>
      </c>
      <c r="B84" s="496"/>
      <c r="C84" s="496"/>
      <c r="D84" s="496"/>
      <c r="E84" s="834"/>
      <c r="F84" s="496"/>
      <c r="G84" s="496"/>
      <c r="H84" s="496"/>
      <c r="I84" s="496"/>
      <c r="J84" s="496"/>
      <c r="K84" s="496"/>
    </row>
  </sheetData>
  <mergeCells count="3">
    <mergeCell ref="Q1:W1"/>
    <mergeCell ref="Q2:W2"/>
    <mergeCell ref="F28:H30"/>
  </mergeCells>
  <phoneticPr fontId="0" type="noConversion"/>
  <pageMargins left="0.75" right="0.5" top="0.72" bottom="0.84" header="0.5" footer="0.5"/>
  <pageSetup scale="72" orientation="portrait" r:id="rId1"/>
  <headerFooter scaleWithDoc="0" alignWithMargins="0">
    <oddHeader xml:space="preserve">&amp;RExhibit No. JH-3
Dockets UE-160228/UG-160229
Page &amp;P of &amp;N
Revised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P104"/>
  <sheetViews>
    <sheetView tabSelected="1" view="pageBreakPreview" topLeftCell="A90" zoomScale="115" zoomScaleNormal="100" zoomScaleSheetLayoutView="115" workbookViewId="0">
      <selection activeCell="B64" sqref="B64"/>
    </sheetView>
  </sheetViews>
  <sheetFormatPr defaultColWidth="10.7265625" defaultRowHeight="11.5"/>
  <cols>
    <col min="1" max="1" width="5.7265625" style="154" customWidth="1"/>
    <col min="2" max="3" width="1.7265625" style="1" customWidth="1"/>
    <col min="4" max="4" width="34.1796875" style="1" customWidth="1"/>
    <col min="5" max="5" width="15.54296875" style="65" customWidth="1"/>
    <col min="6" max="9" width="12.81640625" style="65" customWidth="1"/>
    <col min="10" max="10" width="12.81640625" style="170" customWidth="1"/>
    <col min="11" max="17" width="12.81640625" style="65" customWidth="1"/>
    <col min="18" max="18" width="16.453125" style="65" customWidth="1"/>
    <col min="19" max="20" width="14.7265625" style="65" customWidth="1"/>
    <col min="21" max="21" width="10" style="170" customWidth="1"/>
    <col min="22" max="22" width="10" style="171" customWidth="1"/>
    <col min="23" max="26" width="10" style="356" customWidth="1"/>
    <col min="27" max="27" width="10" style="171" customWidth="1"/>
    <col min="28" max="28" width="11.7265625" style="171" customWidth="1"/>
    <col min="29" max="29" width="14" style="170" customWidth="1"/>
    <col min="30" max="30" width="14" style="65" customWidth="1"/>
    <col min="31" max="31" width="10.453125" style="357" bestFit="1" customWidth="1"/>
    <col min="32" max="32" width="16.1796875" style="357" bestFit="1" customWidth="1"/>
    <col min="33" max="33" width="12.26953125" style="165" bestFit="1" customWidth="1"/>
    <col min="34" max="34" width="11.81640625" style="165" bestFit="1" customWidth="1"/>
    <col min="35" max="35" width="13.54296875" style="65" customWidth="1"/>
    <col min="36" max="36" width="2.1796875" style="609" customWidth="1"/>
    <col min="37" max="37" width="14.1796875" style="356" customWidth="1"/>
    <col min="38" max="40" width="11" style="357" customWidth="1"/>
    <col min="41" max="41" width="15.1796875" style="65" bestFit="1" customWidth="1"/>
    <col min="42" max="42" width="13.453125" style="356" customWidth="1"/>
    <col min="43" max="43" width="10.81640625" style="356" customWidth="1"/>
    <col min="44" max="44" width="13" style="65" bestFit="1" customWidth="1"/>
    <col min="45" max="45" width="17" style="356" customWidth="1"/>
    <col min="46" max="46" width="17.7265625" style="357" customWidth="1"/>
    <col min="47" max="47" width="19" style="356" customWidth="1"/>
    <col min="48" max="48" width="17.26953125" style="356" customWidth="1"/>
    <col min="49" max="49" width="35.1796875" style="510" customWidth="1"/>
    <col min="50" max="50" width="13.54296875" style="433" customWidth="1"/>
    <col min="51" max="51" width="8.26953125" style="433" bestFit="1" customWidth="1"/>
    <col min="52" max="52" width="7.7265625" style="527" bestFit="1" customWidth="1"/>
    <col min="53" max="53" width="15.54296875" style="433" customWidth="1"/>
    <col min="54" max="54" width="14" style="386" customWidth="1"/>
    <col min="55" max="55" width="11.7265625" style="386" bestFit="1" customWidth="1"/>
    <col min="56" max="57" width="11.7265625" style="433" bestFit="1" customWidth="1"/>
    <col min="58" max="58" width="15.7265625" style="386" customWidth="1"/>
    <col min="59" max="59" width="16.26953125" style="386" customWidth="1"/>
    <col min="60" max="60" width="15.54296875" style="433" customWidth="1"/>
    <col min="61" max="61" width="15.54296875" style="386" customWidth="1"/>
    <col min="62" max="63" width="15.54296875" style="433" customWidth="1"/>
    <col min="64" max="64" width="22.81640625" style="527" bestFit="1" customWidth="1"/>
    <col min="65" max="68" width="10.7265625" style="527"/>
    <col min="69" max="16384" width="10.7265625" style="1"/>
  </cols>
  <sheetData>
    <row r="1" spans="1:68" ht="12.75" customHeight="1">
      <c r="A1" s="780" t="str">
        <f>'ROO INPUT'!A3:C3</f>
        <v>AVISTA UTILITIES</v>
      </c>
      <c r="E1" s="459"/>
      <c r="F1" s="1"/>
      <c r="G1" s="1"/>
      <c r="H1" s="1"/>
      <c r="I1" s="1"/>
      <c r="J1" s="168"/>
      <c r="K1" s="1"/>
      <c r="L1" s="1"/>
      <c r="M1" s="1"/>
      <c r="N1" s="1"/>
      <c r="O1" s="1"/>
      <c r="P1" s="1"/>
      <c r="Q1" s="1"/>
      <c r="R1" s="492"/>
      <c r="S1" s="492"/>
      <c r="T1" s="492"/>
      <c r="U1" s="653"/>
      <c r="V1" s="653"/>
      <c r="W1" s="492"/>
      <c r="Y1" s="492"/>
      <c r="Z1" s="492"/>
      <c r="AA1" s="653"/>
      <c r="AB1" s="653"/>
      <c r="AC1" s="653"/>
      <c r="AD1" s="492"/>
      <c r="AE1" s="358"/>
      <c r="AF1" s="358"/>
      <c r="AI1" s="492"/>
      <c r="AL1" s="540"/>
      <c r="AO1" s="492"/>
      <c r="AP1" s="492"/>
      <c r="AQ1" s="492"/>
      <c r="AR1" s="492"/>
      <c r="BA1" s="859"/>
      <c r="BB1" s="860"/>
      <c r="BC1" s="861"/>
      <c r="BD1" s="446"/>
      <c r="BE1" s="446"/>
    </row>
    <row r="2" spans="1:68" ht="12.75" customHeight="1">
      <c r="A2" s="799" t="s">
        <v>574</v>
      </c>
      <c r="E2" s="360"/>
      <c r="F2" s="518"/>
      <c r="R2" s="492"/>
      <c r="S2" s="492"/>
      <c r="T2" s="492"/>
      <c r="U2" s="653"/>
      <c r="V2" s="653"/>
      <c r="W2" s="492"/>
      <c r="Y2" s="492" t="s">
        <v>493</v>
      </c>
      <c r="Z2" s="492"/>
      <c r="AA2" s="653"/>
      <c r="AB2" s="653"/>
      <c r="AC2" s="653"/>
      <c r="AD2" s="492"/>
      <c r="AI2" s="492"/>
      <c r="AL2" s="518" t="s">
        <v>515</v>
      </c>
      <c r="AM2" s="518"/>
      <c r="AO2" s="492"/>
      <c r="AP2" s="492"/>
      <c r="AQ2" s="492"/>
      <c r="AR2" s="492"/>
      <c r="AU2" s="469"/>
      <c r="AV2" s="403"/>
      <c r="BA2" s="862"/>
      <c r="BB2" s="860"/>
      <c r="BC2" s="860"/>
      <c r="BD2" s="446"/>
      <c r="BE2" s="446"/>
      <c r="BJ2" s="863"/>
    </row>
    <row r="3" spans="1:68" ht="12.75" customHeight="1">
      <c r="A3" s="780" t="str">
        <f>'ROO INPUT'!A5:C5</f>
        <v>TWELVE MONTHS ENDED SEPTEMBER 30, 2015</v>
      </c>
      <c r="B3" s="154"/>
      <c r="E3" s="360"/>
      <c r="F3" s="356"/>
      <c r="G3" s="356"/>
      <c r="H3" s="356"/>
      <c r="I3" s="356"/>
      <c r="J3" s="171"/>
      <c r="K3" s="356"/>
      <c r="L3" s="356"/>
      <c r="M3" s="356"/>
      <c r="N3" s="356"/>
      <c r="O3" s="356"/>
      <c r="P3" s="356"/>
      <c r="Q3" s="356"/>
      <c r="R3" s="492"/>
      <c r="S3" s="492"/>
      <c r="T3" s="492"/>
      <c r="U3" s="653"/>
      <c r="V3" s="653"/>
      <c r="W3" s="492"/>
      <c r="Y3" s="492"/>
      <c r="Z3" s="492"/>
      <c r="AA3" s="653"/>
      <c r="AB3" s="653"/>
      <c r="AC3" s="653"/>
      <c r="AD3" s="492"/>
      <c r="AI3" s="492"/>
      <c r="AL3" s="516"/>
      <c r="AO3" s="492"/>
      <c r="AP3" s="492"/>
      <c r="AQ3" s="492"/>
      <c r="AR3" s="492"/>
      <c r="AY3" s="751"/>
      <c r="AZ3" s="864"/>
      <c r="BA3" s="751"/>
      <c r="BB3" s="842"/>
      <c r="BC3" s="843"/>
      <c r="BD3" s="865"/>
      <c r="BE3" s="865"/>
      <c r="BI3" s="866"/>
    </row>
    <row r="4" spans="1:68" s="361" customFormat="1" ht="12" customHeight="1">
      <c r="A4" s="780" t="str">
        <f>'ROO INPUT'!A6:C6</f>
        <v xml:space="preserve">(000'S OF DOLLARS)   </v>
      </c>
      <c r="B4" s="1"/>
      <c r="C4" s="154"/>
      <c r="D4" s="154"/>
      <c r="E4" s="154"/>
      <c r="F4" s="359"/>
      <c r="G4" s="359"/>
      <c r="H4" s="359"/>
      <c r="I4" s="359"/>
      <c r="J4" s="654"/>
      <c r="K4" s="359"/>
      <c r="L4" s="359"/>
      <c r="M4" s="359"/>
      <c r="N4" s="359"/>
      <c r="O4" s="359"/>
      <c r="P4" s="359"/>
      <c r="Q4" s="359"/>
      <c r="R4" s="500"/>
      <c r="S4" s="500"/>
      <c r="T4" s="500"/>
      <c r="U4" s="671"/>
      <c r="V4" s="654"/>
      <c r="W4" s="359"/>
      <c r="X4" s="359"/>
      <c r="Y4" s="359"/>
      <c r="Z4" s="359"/>
      <c r="AA4" s="654"/>
      <c r="AB4" s="654"/>
      <c r="AC4" s="671"/>
      <c r="AD4" s="500"/>
      <c r="AE4" s="359"/>
      <c r="AF4" s="359"/>
      <c r="AG4" s="654"/>
      <c r="AH4" s="654"/>
      <c r="AI4" s="500"/>
      <c r="AJ4" s="610"/>
      <c r="AK4" s="359"/>
      <c r="AL4" s="359"/>
      <c r="AM4" s="359"/>
      <c r="AN4" s="359"/>
      <c r="AO4" s="500"/>
      <c r="AP4" s="359"/>
      <c r="AQ4" s="359"/>
      <c r="AR4" s="500"/>
      <c r="AS4" s="359"/>
      <c r="AT4" s="358"/>
      <c r="AU4" s="359"/>
      <c r="AV4" s="360"/>
      <c r="AW4" s="510"/>
      <c r="AX4" s="867"/>
      <c r="AY4" s="867"/>
      <c r="AZ4" s="867"/>
      <c r="BA4" s="868"/>
      <c r="BB4" s="869"/>
      <c r="BC4" s="869"/>
      <c r="BD4" s="869"/>
      <c r="BE4" s="869"/>
      <c r="BF4" s="869"/>
      <c r="BG4" s="869"/>
      <c r="BH4" s="869"/>
      <c r="BI4" s="362"/>
      <c r="BJ4" s="869"/>
      <c r="BK4" s="362"/>
      <c r="BL4" s="867"/>
      <c r="BM4" s="867"/>
      <c r="BN4" s="867"/>
      <c r="BO4" s="867"/>
      <c r="BP4" s="867"/>
    </row>
    <row r="5" spans="1:68" ht="12.75" customHeight="1">
      <c r="A5" s="1"/>
      <c r="E5" s="360"/>
      <c r="U5" s="672"/>
      <c r="AE5" s="533"/>
      <c r="AF5" s="533"/>
      <c r="AG5" s="738"/>
      <c r="AH5" s="738"/>
      <c r="AJ5" s="611"/>
      <c r="AK5" s="358"/>
      <c r="AL5" s="428"/>
      <c r="AM5" s="428"/>
      <c r="AN5" s="428"/>
      <c r="AR5" s="555"/>
      <c r="AS5" s="428"/>
      <c r="AT5" s="569"/>
      <c r="AU5" s="403"/>
      <c r="AV5" s="846" t="s">
        <v>516</v>
      </c>
      <c r="AX5" s="362"/>
      <c r="AY5" s="362"/>
      <c r="BA5" s="870"/>
      <c r="BB5" s="428"/>
      <c r="BC5" s="428"/>
      <c r="BF5" s="428"/>
      <c r="BG5" s="428"/>
      <c r="BH5" s="428"/>
      <c r="BI5" s="871"/>
      <c r="BJ5" s="870"/>
      <c r="BK5" s="870"/>
    </row>
    <row r="6" spans="1:68" s="364" customFormat="1" ht="13.5" customHeight="1">
      <c r="A6" s="363"/>
      <c r="E6" s="360"/>
      <c r="F6" s="360"/>
      <c r="G6" s="753"/>
      <c r="H6" s="360"/>
      <c r="I6" s="360"/>
      <c r="J6" s="753" t="s">
        <v>565</v>
      </c>
      <c r="K6" s="360"/>
      <c r="L6" s="360"/>
      <c r="M6" s="360"/>
      <c r="N6" s="360"/>
      <c r="O6" s="360"/>
      <c r="P6" s="360"/>
      <c r="Q6" s="360"/>
      <c r="R6" s="360"/>
      <c r="S6" s="360"/>
      <c r="T6" s="360"/>
      <c r="U6" s="753" t="s">
        <v>565</v>
      </c>
      <c r="V6" s="753" t="s">
        <v>565</v>
      </c>
      <c r="W6" s="358"/>
      <c r="X6" s="360"/>
      <c r="Y6" s="360"/>
      <c r="Z6" s="360"/>
      <c r="AA6" s="753" t="s">
        <v>565</v>
      </c>
      <c r="AB6" s="753" t="s">
        <v>565</v>
      </c>
      <c r="AC6" s="753" t="s">
        <v>565</v>
      </c>
      <c r="AD6" s="360"/>
      <c r="AE6" s="360"/>
      <c r="AF6" s="358"/>
      <c r="AG6" s="753" t="s">
        <v>565</v>
      </c>
      <c r="AH6" s="753" t="s">
        <v>565</v>
      </c>
      <c r="AI6" s="753" t="s">
        <v>565</v>
      </c>
      <c r="AK6" s="358"/>
      <c r="AL6" s="655" t="s">
        <v>550</v>
      </c>
      <c r="AM6" s="655" t="s">
        <v>550</v>
      </c>
      <c r="AN6" s="655" t="s">
        <v>550</v>
      </c>
      <c r="AO6" s="655" t="s">
        <v>550</v>
      </c>
      <c r="AP6" s="655" t="s">
        <v>550</v>
      </c>
      <c r="AQ6" s="655" t="s">
        <v>550</v>
      </c>
      <c r="AR6" s="655" t="s">
        <v>550</v>
      </c>
      <c r="AS6" s="655"/>
      <c r="AT6" s="655" t="s">
        <v>550</v>
      </c>
      <c r="AU6" s="736" t="s">
        <v>562</v>
      </c>
      <c r="AV6" s="847" t="s">
        <v>521</v>
      </c>
      <c r="AW6" s="510"/>
      <c r="AX6" s="362"/>
      <c r="AY6" s="362"/>
      <c r="AZ6" s="872"/>
      <c r="BA6" s="436"/>
      <c r="BB6" s="362"/>
      <c r="BC6" s="362"/>
      <c r="BD6" s="362"/>
      <c r="BE6" s="362"/>
      <c r="BF6" s="362"/>
      <c r="BG6" s="362"/>
      <c r="BH6" s="428"/>
      <c r="BI6" s="362"/>
      <c r="BJ6" s="436"/>
      <c r="BK6" s="436"/>
      <c r="BL6" s="872"/>
      <c r="BM6" s="872"/>
      <c r="BN6" s="872"/>
      <c r="BO6" s="872"/>
      <c r="BP6" s="872"/>
    </row>
    <row r="7" spans="1:68" s="364" customFormat="1" ht="12" customHeight="1">
      <c r="A7" s="365"/>
      <c r="B7" s="366"/>
      <c r="C7" s="367"/>
      <c r="D7" s="368"/>
      <c r="E7" s="369" t="s">
        <v>0</v>
      </c>
      <c r="F7" s="370" t="s">
        <v>1</v>
      </c>
      <c r="G7" s="370" t="s">
        <v>247</v>
      </c>
      <c r="H7" s="370" t="s">
        <v>451</v>
      </c>
      <c r="I7" s="370" t="s">
        <v>2</v>
      </c>
      <c r="J7" s="678" t="s">
        <v>5</v>
      </c>
      <c r="K7" s="370" t="s">
        <v>115</v>
      </c>
      <c r="L7" s="370" t="s">
        <v>3</v>
      </c>
      <c r="M7" s="370" t="s">
        <v>4</v>
      </c>
      <c r="N7" s="370" t="s">
        <v>444</v>
      </c>
      <c r="O7" s="370" t="s">
        <v>6</v>
      </c>
      <c r="P7" s="370" t="s">
        <v>5</v>
      </c>
      <c r="Q7" s="370" t="s">
        <v>135</v>
      </c>
      <c r="R7" s="370" t="s">
        <v>472</v>
      </c>
      <c r="S7" s="460" t="s">
        <v>474</v>
      </c>
      <c r="T7" s="460" t="s">
        <v>168</v>
      </c>
      <c r="U7" s="673" t="s">
        <v>5</v>
      </c>
      <c r="V7" s="181" t="s">
        <v>172</v>
      </c>
      <c r="W7" s="370" t="s">
        <v>510</v>
      </c>
      <c r="X7" s="350" t="s">
        <v>461</v>
      </c>
      <c r="Y7" s="369" t="s">
        <v>16</v>
      </c>
      <c r="Z7" s="369" t="s">
        <v>16</v>
      </c>
      <c r="AA7" s="181" t="s">
        <v>16</v>
      </c>
      <c r="AB7" s="181" t="s">
        <v>458</v>
      </c>
      <c r="AC7" s="678" t="s">
        <v>16</v>
      </c>
      <c r="AD7" s="370" t="s">
        <v>16</v>
      </c>
      <c r="AE7" s="370" t="s">
        <v>458</v>
      </c>
      <c r="AF7" s="370" t="s">
        <v>16</v>
      </c>
      <c r="AG7" s="678" t="s">
        <v>16</v>
      </c>
      <c r="AH7" s="739" t="s">
        <v>458</v>
      </c>
      <c r="AI7" s="370" t="s">
        <v>16</v>
      </c>
      <c r="AJ7" s="612"/>
      <c r="AK7" s="503" t="s">
        <v>458</v>
      </c>
      <c r="AL7" s="541" t="s">
        <v>470</v>
      </c>
      <c r="AM7" s="541" t="s">
        <v>470</v>
      </c>
      <c r="AN7" s="541" t="s">
        <v>470</v>
      </c>
      <c r="AO7" s="541" t="s">
        <v>470</v>
      </c>
      <c r="AP7" s="369" t="s">
        <v>470</v>
      </c>
      <c r="AQ7" s="369" t="s">
        <v>470</v>
      </c>
      <c r="AR7" s="541" t="s">
        <v>470</v>
      </c>
      <c r="AS7" s="532" t="s">
        <v>516</v>
      </c>
      <c r="AT7" s="570" t="s">
        <v>518</v>
      </c>
      <c r="AU7" s="683" t="s">
        <v>586</v>
      </c>
      <c r="AV7" s="847" t="s">
        <v>486</v>
      </c>
      <c r="AW7" s="511"/>
      <c r="AX7" s="436"/>
      <c r="AY7" s="436"/>
      <c r="AZ7" s="872"/>
      <c r="BA7" s="436"/>
      <c r="BB7" s="526"/>
      <c r="BC7" s="526"/>
      <c r="BD7" s="362"/>
      <c r="BE7" s="362"/>
      <c r="BF7" s="526"/>
      <c r="BG7" s="526"/>
      <c r="BH7" s="870"/>
      <c r="BI7" s="526"/>
      <c r="BJ7" s="436"/>
      <c r="BK7" s="436"/>
      <c r="BL7" s="872"/>
      <c r="BM7" s="872"/>
      <c r="BN7" s="872"/>
      <c r="BO7" s="872"/>
      <c r="BP7" s="872"/>
    </row>
    <row r="8" spans="1:68" s="364" customFormat="1">
      <c r="A8" s="371" t="s">
        <v>7</v>
      </c>
      <c r="B8" s="372"/>
      <c r="C8" s="373"/>
      <c r="D8" s="374"/>
      <c r="E8" s="507" t="s">
        <v>8</v>
      </c>
      <c r="F8" s="375" t="s">
        <v>9</v>
      </c>
      <c r="G8" s="375" t="s">
        <v>13</v>
      </c>
      <c r="H8" s="375" t="s">
        <v>138</v>
      </c>
      <c r="I8" s="375" t="s">
        <v>10</v>
      </c>
      <c r="J8" s="679" t="s">
        <v>11</v>
      </c>
      <c r="K8" s="375" t="s">
        <v>12</v>
      </c>
      <c r="L8" s="375" t="s">
        <v>12</v>
      </c>
      <c r="M8" s="375" t="s">
        <v>13</v>
      </c>
      <c r="N8" s="375" t="s">
        <v>445</v>
      </c>
      <c r="O8" s="375" t="s">
        <v>15</v>
      </c>
      <c r="P8" s="375" t="s">
        <v>136</v>
      </c>
      <c r="Q8" s="375" t="s">
        <v>453</v>
      </c>
      <c r="R8" s="375" t="s">
        <v>473</v>
      </c>
      <c r="S8" s="461" t="s">
        <v>475</v>
      </c>
      <c r="T8" s="461" t="s">
        <v>172</v>
      </c>
      <c r="U8" s="674" t="s">
        <v>14</v>
      </c>
      <c r="V8" s="656" t="s">
        <v>186</v>
      </c>
      <c r="W8" s="556" t="s">
        <v>511</v>
      </c>
      <c r="X8" s="450" t="s">
        <v>219</v>
      </c>
      <c r="Y8" s="376" t="s">
        <v>131</v>
      </c>
      <c r="Z8" s="376" t="s">
        <v>131</v>
      </c>
      <c r="AA8" s="656" t="s">
        <v>170</v>
      </c>
      <c r="AB8" s="656" t="s">
        <v>529</v>
      </c>
      <c r="AC8" s="679" t="s">
        <v>11</v>
      </c>
      <c r="AD8" s="375" t="s">
        <v>471</v>
      </c>
      <c r="AE8" s="375" t="s">
        <v>184</v>
      </c>
      <c r="AF8" s="375" t="s">
        <v>3</v>
      </c>
      <c r="AG8" s="679" t="s">
        <v>439</v>
      </c>
      <c r="AH8" s="740" t="s">
        <v>498</v>
      </c>
      <c r="AI8" s="375" t="s">
        <v>442</v>
      </c>
      <c r="AJ8" s="613"/>
      <c r="AK8" s="529" t="s">
        <v>462</v>
      </c>
      <c r="AL8" s="375" t="s">
        <v>131</v>
      </c>
      <c r="AM8" s="375" t="s">
        <v>439</v>
      </c>
      <c r="AN8" s="566" t="s">
        <v>439</v>
      </c>
      <c r="AO8" s="375" t="s">
        <v>535</v>
      </c>
      <c r="AP8" s="376" t="s">
        <v>459</v>
      </c>
      <c r="AQ8" s="376" t="s">
        <v>533</v>
      </c>
      <c r="AR8" s="375" t="s">
        <v>11</v>
      </c>
      <c r="AS8" s="529" t="s">
        <v>517</v>
      </c>
      <c r="AT8" s="450" t="s">
        <v>470</v>
      </c>
      <c r="AU8" s="450" t="s">
        <v>547</v>
      </c>
      <c r="AV8" s="847" t="s">
        <v>16</v>
      </c>
      <c r="AW8" s="511"/>
      <c r="AX8" s="436"/>
      <c r="AY8" s="436"/>
      <c r="AZ8" s="872"/>
      <c r="BA8" s="436"/>
      <c r="BB8" s="362"/>
      <c r="BC8" s="362"/>
      <c r="BD8" s="873"/>
      <c r="BE8" s="873"/>
      <c r="BF8" s="362"/>
      <c r="BG8" s="362"/>
      <c r="BH8" s="436"/>
      <c r="BI8" s="362"/>
      <c r="BJ8" s="436"/>
      <c r="BK8" s="436"/>
      <c r="BL8" s="872"/>
      <c r="BM8" s="872"/>
      <c r="BN8" s="872"/>
      <c r="BO8" s="872"/>
      <c r="BP8" s="872"/>
    </row>
    <row r="9" spans="1:68" s="364" customFormat="1" ht="12" thickBot="1">
      <c r="A9" s="377" t="s">
        <v>17</v>
      </c>
      <c r="B9" s="378"/>
      <c r="C9" s="379"/>
      <c r="D9" s="380" t="s">
        <v>18</v>
      </c>
      <c r="E9" s="508" t="s">
        <v>19</v>
      </c>
      <c r="F9" s="381" t="s">
        <v>20</v>
      </c>
      <c r="G9" s="381" t="s">
        <v>248</v>
      </c>
      <c r="H9" s="381"/>
      <c r="I9" s="381" t="s">
        <v>22</v>
      </c>
      <c r="J9" s="680" t="s">
        <v>23</v>
      </c>
      <c r="K9" s="381"/>
      <c r="L9" s="381"/>
      <c r="M9" s="381" t="s">
        <v>24</v>
      </c>
      <c r="N9" s="381" t="s">
        <v>12</v>
      </c>
      <c r="O9" s="381" t="s">
        <v>26</v>
      </c>
      <c r="P9" s="381" t="s">
        <v>22</v>
      </c>
      <c r="Q9" s="381"/>
      <c r="R9" s="381" t="s">
        <v>116</v>
      </c>
      <c r="S9" s="462" t="s">
        <v>476</v>
      </c>
      <c r="T9" s="462" t="s">
        <v>119</v>
      </c>
      <c r="U9" s="675" t="s">
        <v>25</v>
      </c>
      <c r="V9" s="657" t="s">
        <v>21</v>
      </c>
      <c r="W9" s="557" t="s">
        <v>512</v>
      </c>
      <c r="X9" s="383"/>
      <c r="Y9" s="382" t="s">
        <v>132</v>
      </c>
      <c r="Z9" s="382" t="s">
        <v>133</v>
      </c>
      <c r="AA9" s="657" t="s">
        <v>171</v>
      </c>
      <c r="AB9" s="657" t="s">
        <v>530</v>
      </c>
      <c r="AC9" s="680" t="s">
        <v>23</v>
      </c>
      <c r="AD9" s="381" t="s">
        <v>464</v>
      </c>
      <c r="AE9" s="381" t="s">
        <v>185</v>
      </c>
      <c r="AF9" s="381" t="s">
        <v>481</v>
      </c>
      <c r="AG9" s="680" t="s">
        <v>495</v>
      </c>
      <c r="AH9" s="741" t="s">
        <v>499</v>
      </c>
      <c r="AI9" s="381" t="s">
        <v>443</v>
      </c>
      <c r="AJ9" s="614"/>
      <c r="AK9" s="416"/>
      <c r="AL9" s="542" t="s">
        <v>132</v>
      </c>
      <c r="AM9" s="542" t="s">
        <v>479</v>
      </c>
      <c r="AN9" s="567" t="s">
        <v>502</v>
      </c>
      <c r="AO9" s="567" t="s">
        <v>536</v>
      </c>
      <c r="AP9" s="567" t="s">
        <v>460</v>
      </c>
      <c r="AQ9" s="567" t="s">
        <v>12</v>
      </c>
      <c r="AR9" s="567" t="s">
        <v>520</v>
      </c>
      <c r="AS9" s="530" t="s">
        <v>27</v>
      </c>
      <c r="AT9" s="571" t="s">
        <v>519</v>
      </c>
      <c r="AU9" s="571"/>
      <c r="AV9" s="848" t="s">
        <v>465</v>
      </c>
      <c r="AW9" s="510"/>
      <c r="AX9" s="362"/>
      <c r="AY9" s="362"/>
      <c r="AZ9" s="872"/>
      <c r="BA9" s="436"/>
      <c r="BB9" s="362"/>
      <c r="BC9" s="362"/>
      <c r="BD9" s="873"/>
      <c r="BE9" s="873"/>
      <c r="BF9" s="362"/>
      <c r="BG9" s="362"/>
      <c r="BH9" s="436"/>
      <c r="BI9" s="362"/>
      <c r="BJ9" s="436"/>
      <c r="BK9" s="436"/>
      <c r="BL9" s="872"/>
      <c r="BM9" s="872"/>
      <c r="BN9" s="872"/>
      <c r="BO9" s="872"/>
      <c r="BP9" s="872"/>
    </row>
    <row r="10" spans="1:68" s="364" customFormat="1">
      <c r="A10" s="363"/>
      <c r="B10" s="384" t="s">
        <v>570</v>
      </c>
      <c r="E10" s="463">
        <v>1</v>
      </c>
      <c r="F10" s="463">
        <f>E10+0.01</f>
        <v>1.01</v>
      </c>
      <c r="G10" s="463">
        <f t="shared" ref="G10" si="0">F10+0.01</f>
        <v>1.02</v>
      </c>
      <c r="H10" s="463">
        <f>G10+0.01</f>
        <v>1.03</v>
      </c>
      <c r="I10" s="463">
        <v>2.0099999999999998</v>
      </c>
      <c r="J10" s="212">
        <f>I10+0.01</f>
        <v>2.0199999999999996</v>
      </c>
      <c r="K10" s="463">
        <f t="shared" ref="K10:S10" si="1">J10+0.01</f>
        <v>2.0299999999999994</v>
      </c>
      <c r="L10" s="463">
        <f t="shared" si="1"/>
        <v>2.0399999999999991</v>
      </c>
      <c r="M10" s="463">
        <f t="shared" si="1"/>
        <v>2.0499999999999989</v>
      </c>
      <c r="N10" s="463">
        <f t="shared" si="1"/>
        <v>2.0599999999999987</v>
      </c>
      <c r="O10" s="463">
        <f t="shared" si="1"/>
        <v>2.0699999999999985</v>
      </c>
      <c r="P10" s="463">
        <f t="shared" si="1"/>
        <v>2.0799999999999983</v>
      </c>
      <c r="Q10" s="463">
        <f t="shared" si="1"/>
        <v>2.0899999999999981</v>
      </c>
      <c r="R10" s="385">
        <f t="shared" si="1"/>
        <v>2.0999999999999979</v>
      </c>
      <c r="S10" s="385">
        <f t="shared" si="1"/>
        <v>2.1099999999999977</v>
      </c>
      <c r="T10" s="385">
        <f t="shared" ref="T10" si="2">S10+0.01</f>
        <v>2.1199999999999974</v>
      </c>
      <c r="U10" s="658">
        <f t="shared" ref="U10" si="3">T10+0.01</f>
        <v>2.1299999999999972</v>
      </c>
      <c r="V10" s="658">
        <f t="shared" ref="V10" si="4">U10+0.01</f>
        <v>2.139999999999997</v>
      </c>
      <c r="W10" s="385">
        <f t="shared" ref="W10" si="5">V10+0.01</f>
        <v>2.1499999999999968</v>
      </c>
      <c r="X10" s="360"/>
      <c r="Y10" s="385">
        <v>3</v>
      </c>
      <c r="Z10" s="385">
        <f>Y10+0.01</f>
        <v>3.01</v>
      </c>
      <c r="AA10" s="658">
        <f t="shared" ref="AA10" si="6">Z10+0.01</f>
        <v>3.0199999999999996</v>
      </c>
      <c r="AB10" s="658">
        <f t="shared" ref="AB10" si="7">AA10+0.01</f>
        <v>3.0299999999999994</v>
      </c>
      <c r="AC10" s="658">
        <f t="shared" ref="AC10" si="8">AB10+0.01</f>
        <v>3.0399999999999991</v>
      </c>
      <c r="AD10" s="385">
        <f t="shared" ref="AD10" si="9">AC10+0.01</f>
        <v>3.0499999999999989</v>
      </c>
      <c r="AE10" s="385">
        <f t="shared" ref="AE10" si="10">AD10+0.01</f>
        <v>3.0599999999999987</v>
      </c>
      <c r="AF10" s="385">
        <f t="shared" ref="AF10" si="11">AE10+0.01</f>
        <v>3.0699999999999985</v>
      </c>
      <c r="AG10" s="658">
        <f t="shared" ref="AG10" si="12">AF10+0.01</f>
        <v>3.0799999999999983</v>
      </c>
      <c r="AH10" s="658">
        <f>AG10+0.01</f>
        <v>3.0899999999999981</v>
      </c>
      <c r="AI10" s="385">
        <f t="shared" ref="AI10" si="13">AH10+0.01</f>
        <v>3.0999999999999979</v>
      </c>
      <c r="AJ10" s="615"/>
      <c r="AK10" s="419"/>
      <c r="AL10" s="385">
        <v>4</v>
      </c>
      <c r="AM10" s="385">
        <f>4+0.01</f>
        <v>4.01</v>
      </c>
      <c r="AN10" s="385">
        <f>AM10+0.01</f>
        <v>4.0199999999999996</v>
      </c>
      <c r="AO10" s="385">
        <f t="shared" ref="AO10:AR10" si="14">AN10+0.01</f>
        <v>4.0299999999999994</v>
      </c>
      <c r="AP10" s="385">
        <f t="shared" si="14"/>
        <v>4.0399999999999991</v>
      </c>
      <c r="AQ10" s="385">
        <f t="shared" si="14"/>
        <v>4.0499999999999989</v>
      </c>
      <c r="AR10" s="385">
        <f t="shared" si="14"/>
        <v>4.0599999999999987</v>
      </c>
      <c r="AS10" s="531" t="s">
        <v>522</v>
      </c>
      <c r="AT10" s="572">
        <f>AR10+0.01</f>
        <v>4.0699999999999985</v>
      </c>
      <c r="AU10" s="684">
        <v>4.08</v>
      </c>
      <c r="AV10" s="849" t="s">
        <v>523</v>
      </c>
      <c r="AW10" s="510"/>
      <c r="AX10" s="362"/>
      <c r="AY10" s="362"/>
      <c r="AZ10" s="872"/>
      <c r="BA10" s="874"/>
      <c r="BB10" s="385"/>
      <c r="BC10" s="385"/>
      <c r="BD10" s="385"/>
      <c r="BE10" s="385"/>
      <c r="BF10" s="385"/>
      <c r="BG10" s="385"/>
      <c r="BH10" s="874"/>
      <c r="BI10" s="385"/>
      <c r="BJ10" s="874"/>
      <c r="BK10" s="874"/>
      <c r="BL10" s="872"/>
      <c r="BM10" s="872"/>
      <c r="BN10" s="872"/>
      <c r="BO10" s="872"/>
      <c r="BP10" s="872"/>
    </row>
    <row r="11" spans="1:68" s="364" customFormat="1">
      <c r="A11" s="363"/>
      <c r="B11" s="384" t="s">
        <v>191</v>
      </c>
      <c r="E11" s="360" t="s">
        <v>192</v>
      </c>
      <c r="F11" s="360" t="s">
        <v>193</v>
      </c>
      <c r="G11" s="360" t="s">
        <v>194</v>
      </c>
      <c r="H11" s="360" t="s">
        <v>452</v>
      </c>
      <c r="I11" s="360" t="s">
        <v>195</v>
      </c>
      <c r="J11" s="176" t="s">
        <v>449</v>
      </c>
      <c r="K11" s="360" t="s">
        <v>196</v>
      </c>
      <c r="L11" s="360" t="s">
        <v>197</v>
      </c>
      <c r="M11" s="360" t="s">
        <v>198</v>
      </c>
      <c r="N11" s="360" t="s">
        <v>199</v>
      </c>
      <c r="O11" s="360" t="s">
        <v>201</v>
      </c>
      <c r="P11" s="360" t="s">
        <v>438</v>
      </c>
      <c r="Q11" s="360" t="s">
        <v>200</v>
      </c>
      <c r="R11" s="360" t="s">
        <v>514</v>
      </c>
      <c r="S11" s="360" t="s">
        <v>477</v>
      </c>
      <c r="T11" s="360" t="s">
        <v>202</v>
      </c>
      <c r="U11" s="672" t="s">
        <v>204</v>
      </c>
      <c r="V11" s="176" t="s">
        <v>203</v>
      </c>
      <c r="W11" s="358" t="s">
        <v>513</v>
      </c>
      <c r="X11" s="360" t="s">
        <v>440</v>
      </c>
      <c r="Y11" s="360" t="s">
        <v>205</v>
      </c>
      <c r="Z11" s="360" t="s">
        <v>206</v>
      </c>
      <c r="AA11" s="176" t="s">
        <v>207</v>
      </c>
      <c r="AB11" s="176" t="s">
        <v>531</v>
      </c>
      <c r="AC11" s="176" t="s">
        <v>450</v>
      </c>
      <c r="AD11" s="360" t="s">
        <v>480</v>
      </c>
      <c r="AE11" s="358" t="s">
        <v>503</v>
      </c>
      <c r="AF11" s="358" t="s">
        <v>501</v>
      </c>
      <c r="AG11" s="742" t="s">
        <v>496</v>
      </c>
      <c r="AH11" s="742" t="s">
        <v>497</v>
      </c>
      <c r="AI11" s="360" t="s">
        <v>500</v>
      </c>
      <c r="AJ11" s="616"/>
      <c r="AK11" s="419" t="s">
        <v>441</v>
      </c>
      <c r="AL11" s="362" t="s">
        <v>532</v>
      </c>
      <c r="AM11" s="362" t="s">
        <v>504</v>
      </c>
      <c r="AN11" s="362" t="s">
        <v>505</v>
      </c>
      <c r="AO11" s="360" t="s">
        <v>537</v>
      </c>
      <c r="AP11" s="360" t="s">
        <v>507</v>
      </c>
      <c r="AQ11" s="360" t="s">
        <v>534</v>
      </c>
      <c r="AR11" s="360" t="s">
        <v>506</v>
      </c>
      <c r="AS11" s="419"/>
      <c r="AT11" s="375" t="s">
        <v>508</v>
      </c>
      <c r="AU11" s="375"/>
      <c r="AV11" s="519"/>
      <c r="AW11" s="510"/>
      <c r="AX11" s="362"/>
      <c r="AY11" s="362"/>
      <c r="AZ11" s="872"/>
      <c r="BA11" s="362"/>
      <c r="BB11" s="362"/>
      <c r="BC11" s="362"/>
      <c r="BD11" s="362"/>
      <c r="BE11" s="362"/>
      <c r="BF11" s="362"/>
      <c r="BG11" s="362"/>
      <c r="BH11" s="362"/>
      <c r="BI11" s="362"/>
      <c r="BJ11" s="362"/>
      <c r="BK11" s="362"/>
      <c r="BL11" s="872"/>
      <c r="BM11" s="872"/>
      <c r="BN11" s="872"/>
      <c r="BO11" s="872"/>
      <c r="BP11" s="872"/>
    </row>
    <row r="12" spans="1:68" ht="6" customHeight="1">
      <c r="U12" s="165"/>
      <c r="V12" s="170"/>
      <c r="W12" s="65"/>
      <c r="Y12" s="65"/>
      <c r="Z12" s="65"/>
      <c r="AA12" s="170"/>
      <c r="AB12" s="170" t="s">
        <v>494</v>
      </c>
      <c r="AG12" s="676"/>
      <c r="AH12" s="676"/>
      <c r="AJ12" s="617"/>
      <c r="AK12" s="420"/>
      <c r="AL12" s="386"/>
      <c r="AM12" s="386"/>
      <c r="AN12" s="386"/>
      <c r="AP12" s="65" t="s">
        <v>494</v>
      </c>
      <c r="AQ12" s="65" t="s">
        <v>494</v>
      </c>
      <c r="AS12" s="420"/>
      <c r="AT12" s="573"/>
      <c r="AU12" s="737"/>
      <c r="AV12" s="850"/>
      <c r="BD12" s="386"/>
      <c r="BE12" s="386"/>
    </row>
    <row r="13" spans="1:68">
      <c r="B13" s="1" t="s">
        <v>34</v>
      </c>
      <c r="U13" s="165"/>
      <c r="V13" s="170"/>
      <c r="W13" s="65"/>
      <c r="Y13" s="65"/>
      <c r="Z13" s="65"/>
      <c r="AA13" s="170"/>
      <c r="AB13" s="170"/>
      <c r="AG13" s="676"/>
      <c r="AH13" s="676"/>
      <c r="AJ13" s="617"/>
      <c r="AK13" s="420"/>
      <c r="AL13" s="386"/>
      <c r="AM13" s="386"/>
      <c r="AN13" s="386"/>
      <c r="AP13" s="65"/>
      <c r="AQ13" s="65"/>
      <c r="AS13" s="420"/>
      <c r="AT13" s="573"/>
      <c r="AU13" s="737"/>
      <c r="AV13" s="850"/>
      <c r="BD13" s="386"/>
      <c r="BE13" s="386"/>
    </row>
    <row r="14" spans="1:68" s="3" customFormat="1">
      <c r="A14" s="154">
        <v>1</v>
      </c>
      <c r="B14" s="3" t="s">
        <v>35</v>
      </c>
      <c r="E14" s="509">
        <f>'ROO INPUT'!$F15</f>
        <v>152492</v>
      </c>
      <c r="F14" s="457">
        <v>0</v>
      </c>
      <c r="G14" s="457">
        <v>0</v>
      </c>
      <c r="H14" s="457">
        <v>0</v>
      </c>
      <c r="I14" s="457">
        <v>-5520</v>
      </c>
      <c r="J14" s="659">
        <v>0</v>
      </c>
      <c r="K14" s="457">
        <v>0</v>
      </c>
      <c r="L14" s="457">
        <v>0</v>
      </c>
      <c r="M14" s="457">
        <v>0</v>
      </c>
      <c r="N14" s="457">
        <v>0</v>
      </c>
      <c r="O14" s="457">
        <v>0</v>
      </c>
      <c r="P14" s="457">
        <v>0</v>
      </c>
      <c r="Q14" s="457">
        <v>0</v>
      </c>
      <c r="R14" s="457">
        <v>12984</v>
      </c>
      <c r="S14" s="457">
        <v>-3325</v>
      </c>
      <c r="T14" s="457">
        <v>0</v>
      </c>
      <c r="U14" s="659">
        <v>0</v>
      </c>
      <c r="V14" s="659">
        <v>0</v>
      </c>
      <c r="W14" s="457">
        <v>0</v>
      </c>
      <c r="X14" s="387">
        <f>SUM(E14:W14)</f>
        <v>156631</v>
      </c>
      <c r="Y14" s="457">
        <v>0</v>
      </c>
      <c r="Z14" s="457">
        <v>0</v>
      </c>
      <c r="AA14" s="659">
        <v>0</v>
      </c>
      <c r="AB14" s="659">
        <v>0</v>
      </c>
      <c r="AC14" s="659">
        <v>0</v>
      </c>
      <c r="AD14" s="457">
        <v>-72574</v>
      </c>
      <c r="AE14" s="457">
        <v>0</v>
      </c>
      <c r="AF14" s="457">
        <v>0</v>
      </c>
      <c r="AG14" s="743">
        <v>0</v>
      </c>
      <c r="AH14" s="743">
        <v>0</v>
      </c>
      <c r="AI14" s="457">
        <v>0</v>
      </c>
      <c r="AJ14" s="618"/>
      <c r="AK14" s="421">
        <f>SUM(X14:AJ14)</f>
        <v>84057</v>
      </c>
      <c r="AL14" s="543">
        <v>0</v>
      </c>
      <c r="AM14" s="543">
        <v>0</v>
      </c>
      <c r="AN14" s="543">
        <v>0</v>
      </c>
      <c r="AO14" s="457">
        <v>0</v>
      </c>
      <c r="AP14" s="457">
        <v>0</v>
      </c>
      <c r="AQ14" s="457">
        <v>0</v>
      </c>
      <c r="AR14" s="457">
        <v>0</v>
      </c>
      <c r="AS14" s="421">
        <f>SUM(AK14:AR14)</f>
        <v>84057</v>
      </c>
      <c r="AT14" s="574">
        <v>0</v>
      </c>
      <c r="AU14" s="574">
        <v>1878.0251935617562</v>
      </c>
      <c r="AV14" s="851">
        <f>SUM(AS14:AU14)</f>
        <v>85935.025193561756</v>
      </c>
      <c r="AW14" s="512"/>
      <c r="AX14" s="434"/>
      <c r="AY14" s="434"/>
      <c r="AZ14" s="875"/>
      <c r="BA14" s="434"/>
      <c r="BB14" s="543"/>
      <c r="BC14" s="543"/>
      <c r="BD14" s="543"/>
      <c r="BE14" s="543"/>
      <c r="BF14" s="543"/>
      <c r="BG14" s="543"/>
      <c r="BH14" s="434"/>
      <c r="BI14" s="543"/>
      <c r="BJ14" s="434"/>
      <c r="BK14" s="434"/>
      <c r="BL14" s="875"/>
      <c r="BM14" s="875"/>
      <c r="BN14" s="875"/>
      <c r="BO14" s="875"/>
      <c r="BP14" s="875"/>
    </row>
    <row r="15" spans="1:68">
      <c r="A15" s="154">
        <v>2</v>
      </c>
      <c r="B15" s="4" t="s">
        <v>36</v>
      </c>
      <c r="D15" s="4"/>
      <c r="E15" s="281">
        <f>'ROO INPUT'!$F16</f>
        <v>4114</v>
      </c>
      <c r="F15" s="458">
        <v>0</v>
      </c>
      <c r="G15" s="458">
        <v>0</v>
      </c>
      <c r="H15" s="458">
        <v>0</v>
      </c>
      <c r="I15" s="458">
        <v>-106</v>
      </c>
      <c r="J15" s="660">
        <v>0</v>
      </c>
      <c r="K15" s="458">
        <v>0</v>
      </c>
      <c r="L15" s="458">
        <v>0</v>
      </c>
      <c r="M15" s="458">
        <v>0</v>
      </c>
      <c r="N15" s="458">
        <v>0</v>
      </c>
      <c r="O15" s="458">
        <v>0</v>
      </c>
      <c r="P15" s="458">
        <v>0</v>
      </c>
      <c r="Q15" s="458">
        <v>0</v>
      </c>
      <c r="R15" s="458"/>
      <c r="S15" s="458">
        <v>0</v>
      </c>
      <c r="T15" s="458">
        <v>0</v>
      </c>
      <c r="U15" s="660">
        <v>0</v>
      </c>
      <c r="V15" s="660">
        <v>0</v>
      </c>
      <c r="W15" s="458">
        <v>0</v>
      </c>
      <c r="X15" s="388">
        <f>SUM(E15:W15)</f>
        <v>4008</v>
      </c>
      <c r="Y15" s="458">
        <v>0</v>
      </c>
      <c r="Z15" s="458">
        <v>0</v>
      </c>
      <c r="AA15" s="660">
        <v>0</v>
      </c>
      <c r="AB15" s="660">
        <v>0</v>
      </c>
      <c r="AC15" s="660">
        <v>0</v>
      </c>
      <c r="AD15" s="458">
        <v>408</v>
      </c>
      <c r="AE15" s="458">
        <v>0</v>
      </c>
      <c r="AF15" s="458">
        <v>0</v>
      </c>
      <c r="AG15" s="666">
        <v>0</v>
      </c>
      <c r="AH15" s="666">
        <v>0</v>
      </c>
      <c r="AI15" s="458">
        <v>0</v>
      </c>
      <c r="AJ15" s="619"/>
      <c r="AK15" s="421">
        <f>SUM(X15:AJ15)</f>
        <v>4416</v>
      </c>
      <c r="AL15" s="389">
        <v>0</v>
      </c>
      <c r="AM15" s="389">
        <v>0</v>
      </c>
      <c r="AN15" s="389">
        <v>0</v>
      </c>
      <c r="AO15" s="458">
        <v>0</v>
      </c>
      <c r="AP15" s="458">
        <v>0</v>
      </c>
      <c r="AQ15" s="458">
        <v>0</v>
      </c>
      <c r="AR15" s="458">
        <v>0</v>
      </c>
      <c r="AS15" s="422">
        <f>SUM(AK15:AR15)</f>
        <v>4416</v>
      </c>
      <c r="AT15" s="575">
        <v>0</v>
      </c>
      <c r="AU15" s="575">
        <v>1.1391553463872697</v>
      </c>
      <c r="AV15" s="851">
        <f>SUM(AS15:AU15)</f>
        <v>4417.1391553463873</v>
      </c>
      <c r="AW15" s="513"/>
      <c r="AX15" s="430"/>
      <c r="AY15" s="430"/>
      <c r="BA15" s="430"/>
      <c r="BB15" s="389"/>
      <c r="BC15" s="389"/>
      <c r="BD15" s="389"/>
      <c r="BE15" s="389"/>
      <c r="BF15" s="389"/>
      <c r="BG15" s="389"/>
      <c r="BH15" s="430"/>
      <c r="BI15" s="389"/>
      <c r="BJ15" s="430"/>
      <c r="BK15" s="430"/>
    </row>
    <row r="16" spans="1:68" ht="12" thickBot="1">
      <c r="A16" s="154">
        <v>3</v>
      </c>
      <c r="B16" s="4" t="s">
        <v>37</v>
      </c>
      <c r="D16" s="4"/>
      <c r="E16" s="283">
        <f>'ROO INPUT'!$F17</f>
        <v>105088</v>
      </c>
      <c r="F16" s="390">
        <v>0</v>
      </c>
      <c r="G16" s="390">
        <v>0</v>
      </c>
      <c r="H16" s="390">
        <v>0</v>
      </c>
      <c r="I16" s="390">
        <v>0</v>
      </c>
      <c r="J16" s="661">
        <v>0</v>
      </c>
      <c r="K16" s="390">
        <v>0</v>
      </c>
      <c r="L16" s="390">
        <v>0</v>
      </c>
      <c r="M16" s="390">
        <v>0</v>
      </c>
      <c r="N16" s="390">
        <v>0</v>
      </c>
      <c r="O16" s="390">
        <v>0</v>
      </c>
      <c r="P16" s="390">
        <v>0</v>
      </c>
      <c r="Q16" s="390">
        <v>0</v>
      </c>
      <c r="R16" s="390"/>
      <c r="S16" s="390">
        <v>-99392</v>
      </c>
      <c r="T16" s="390">
        <v>0</v>
      </c>
      <c r="U16" s="661">
        <v>0</v>
      </c>
      <c r="V16" s="661">
        <v>0</v>
      </c>
      <c r="W16" s="390">
        <v>0</v>
      </c>
      <c r="X16" s="391">
        <f>SUM(E16:W16)</f>
        <v>5696</v>
      </c>
      <c r="Y16" s="390">
        <v>0</v>
      </c>
      <c r="Z16" s="390">
        <v>0</v>
      </c>
      <c r="AA16" s="661">
        <v>0</v>
      </c>
      <c r="AB16" s="661">
        <v>0</v>
      </c>
      <c r="AC16" s="661">
        <v>0</v>
      </c>
      <c r="AD16" s="390">
        <v>-5413</v>
      </c>
      <c r="AE16" s="390">
        <v>0</v>
      </c>
      <c r="AF16" s="390">
        <v>0</v>
      </c>
      <c r="AG16" s="661">
        <v>0</v>
      </c>
      <c r="AH16" s="661">
        <v>0</v>
      </c>
      <c r="AI16" s="390">
        <v>0</v>
      </c>
      <c r="AJ16" s="620"/>
      <c r="AK16" s="643">
        <f>SUM(X16:AJ16)</f>
        <v>283</v>
      </c>
      <c r="AL16" s="390">
        <v>0</v>
      </c>
      <c r="AM16" s="390">
        <v>0</v>
      </c>
      <c r="AN16" s="390">
        <v>0</v>
      </c>
      <c r="AO16" s="390">
        <v>0</v>
      </c>
      <c r="AP16" s="390">
        <v>0</v>
      </c>
      <c r="AQ16" s="390">
        <v>0</v>
      </c>
      <c r="AR16" s="390">
        <v>0</v>
      </c>
      <c r="AS16" s="423">
        <f>SUM(AK16:AR16)</f>
        <v>283</v>
      </c>
      <c r="AT16" s="576">
        <v>0</v>
      </c>
      <c r="AU16" s="576">
        <v>-17.583333333333371</v>
      </c>
      <c r="AV16" s="852">
        <f>SUM(AS16:AU16)</f>
        <v>265.41666666666663</v>
      </c>
      <c r="AW16" s="513"/>
      <c r="AX16" s="430"/>
      <c r="AY16" s="430"/>
      <c r="BA16" s="430"/>
      <c r="BB16" s="389"/>
      <c r="BC16" s="389"/>
      <c r="BD16" s="389"/>
      <c r="BE16" s="389"/>
      <c r="BF16" s="389"/>
      <c r="BG16" s="389"/>
      <c r="BH16" s="430"/>
      <c r="BI16" s="389"/>
      <c r="BJ16" s="430"/>
      <c r="BK16" s="430"/>
    </row>
    <row r="17" spans="1:63" ht="13">
      <c r="A17" s="154">
        <v>4</v>
      </c>
      <c r="B17" s="1" t="s">
        <v>38</v>
      </c>
      <c r="C17" s="4"/>
      <c r="D17" s="4"/>
      <c r="E17" s="786">
        <f>SUM(E14:E16)</f>
        <v>261694</v>
      </c>
      <c r="F17" s="281">
        <f t="shared" ref="F17:N17" si="15">SUM(F14:F16)</f>
        <v>0</v>
      </c>
      <c r="G17" s="281">
        <f t="shared" si="15"/>
        <v>0</v>
      </c>
      <c r="H17" s="281">
        <f t="shared" si="15"/>
        <v>0</v>
      </c>
      <c r="I17" s="281">
        <f t="shared" si="15"/>
        <v>-5626</v>
      </c>
      <c r="J17" s="215">
        <f>SUM(J14:J16)</f>
        <v>0</v>
      </c>
      <c r="K17" s="281">
        <f t="shared" si="15"/>
        <v>0</v>
      </c>
      <c r="L17" s="281">
        <f t="shared" si="15"/>
        <v>0</v>
      </c>
      <c r="M17" s="281">
        <f t="shared" si="15"/>
        <v>0</v>
      </c>
      <c r="N17" s="281">
        <f t="shared" si="15"/>
        <v>0</v>
      </c>
      <c r="O17" s="281">
        <f t="shared" ref="O17:P17" si="16">SUM(O14:O16)</f>
        <v>0</v>
      </c>
      <c r="P17" s="281">
        <f t="shared" si="16"/>
        <v>0</v>
      </c>
      <c r="Q17" s="281">
        <f t="shared" ref="Q17" si="17">SUM(Q14:Q16)</f>
        <v>0</v>
      </c>
      <c r="R17" s="281">
        <f>SUM(R14:R16)</f>
        <v>12984</v>
      </c>
      <c r="S17" s="281">
        <f>SUM(S14:S16)</f>
        <v>-102717</v>
      </c>
      <c r="T17" s="281">
        <f t="shared" ref="T17" si="18">SUM(T14:T16)</f>
        <v>0</v>
      </c>
      <c r="U17" s="215">
        <f t="shared" ref="U17" si="19">SUM(U14:U16)</f>
        <v>0</v>
      </c>
      <c r="V17" s="215">
        <f t="shared" ref="V17" si="20">SUM(V14:V16)</f>
        <v>0</v>
      </c>
      <c r="W17" s="281">
        <f>SUM(W14:W16)</f>
        <v>0</v>
      </c>
      <c r="X17" s="388">
        <f>SUM(X14:X16)</f>
        <v>166335</v>
      </c>
      <c r="Y17" s="281">
        <f>SUM(Y14:Y16)</f>
        <v>0</v>
      </c>
      <c r="Z17" s="281">
        <f t="shared" ref="Z17:AA17" si="21">SUM(Z14:Z16)</f>
        <v>0</v>
      </c>
      <c r="AA17" s="215">
        <f t="shared" si="21"/>
        <v>0</v>
      </c>
      <c r="AB17" s="215">
        <f>SUM(AB14:AB16)</f>
        <v>0</v>
      </c>
      <c r="AC17" s="215">
        <f t="shared" ref="AC17:AL17" si="22">SUM(AC14:AC16)</f>
        <v>0</v>
      </c>
      <c r="AD17" s="281">
        <f>SUM(AD14:AD16)</f>
        <v>-77579</v>
      </c>
      <c r="AE17" s="328">
        <f t="shared" ref="AE17" si="23">SUM(AE14:AE16)</f>
        <v>0</v>
      </c>
      <c r="AF17" s="328">
        <f>SUM(AF14:AF16)</f>
        <v>0</v>
      </c>
      <c r="AG17" s="744">
        <f>SUM(AG14:AG16)</f>
        <v>0</v>
      </c>
      <c r="AH17" s="744">
        <f>SUM(AH14:AH16)</f>
        <v>0</v>
      </c>
      <c r="AI17" s="281">
        <f>SUM(AI14:AI16)</f>
        <v>0</v>
      </c>
      <c r="AJ17" s="621"/>
      <c r="AK17" s="422">
        <f t="shared" si="22"/>
        <v>88756</v>
      </c>
      <c r="AL17" s="290">
        <f t="shared" si="22"/>
        <v>0</v>
      </c>
      <c r="AM17" s="290">
        <f t="shared" ref="AM17:AS17" si="24">SUM(AM14:AM16)</f>
        <v>0</v>
      </c>
      <c r="AN17" s="290">
        <f>SUM(AN14:AN16)</f>
        <v>0</v>
      </c>
      <c r="AO17" s="281">
        <f t="shared" si="24"/>
        <v>0</v>
      </c>
      <c r="AP17" s="281">
        <f t="shared" ref="AP17:AR17" si="25">SUM(AP14:AP16)</f>
        <v>0</v>
      </c>
      <c r="AQ17" s="281">
        <f>SUM(AQ14:AQ16)</f>
        <v>0</v>
      </c>
      <c r="AR17" s="281">
        <f t="shared" si="25"/>
        <v>0</v>
      </c>
      <c r="AS17" s="422">
        <f t="shared" si="24"/>
        <v>88756</v>
      </c>
      <c r="AT17" s="577">
        <f t="shared" ref="AT17:AU17" si="26">SUM(AT14:AT16)</f>
        <v>0</v>
      </c>
      <c r="AU17" s="577">
        <f t="shared" si="26"/>
        <v>1861.58101557481</v>
      </c>
      <c r="AV17" s="853">
        <f t="shared" ref="AV17" si="27">SUM(AV14:AV16)</f>
        <v>90617.581015574819</v>
      </c>
      <c r="AW17" s="513"/>
      <c r="AX17" s="430"/>
      <c r="AY17" s="430"/>
      <c r="BA17" s="430"/>
      <c r="BB17" s="536"/>
      <c r="BC17" s="536"/>
      <c r="BD17" s="536"/>
      <c r="BE17" s="536"/>
      <c r="BF17" s="536"/>
      <c r="BG17" s="536"/>
      <c r="BH17" s="430"/>
      <c r="BI17" s="536"/>
      <c r="BJ17" s="430"/>
      <c r="BK17" s="430"/>
    </row>
    <row r="18" spans="1:63">
      <c r="C18" s="4"/>
      <c r="D18" s="4"/>
      <c r="E18" s="281"/>
      <c r="F18" s="458"/>
      <c r="G18" s="458"/>
      <c r="H18" s="458"/>
      <c r="I18" s="458"/>
      <c r="J18" s="660"/>
      <c r="K18" s="458"/>
      <c r="L18" s="458"/>
      <c r="M18" s="458"/>
      <c r="N18" s="458"/>
      <c r="O18" s="458"/>
      <c r="P18" s="458"/>
      <c r="Q18" s="458"/>
      <c r="R18" s="458"/>
      <c r="S18" s="458"/>
      <c r="T18" s="458"/>
      <c r="U18" s="660"/>
      <c r="V18" s="660"/>
      <c r="W18" s="458"/>
      <c r="X18" s="388"/>
      <c r="Y18" s="458"/>
      <c r="Z18" s="458"/>
      <c r="AA18" s="660"/>
      <c r="AB18" s="660"/>
      <c r="AC18" s="660"/>
      <c r="AD18" s="458"/>
      <c r="AE18" s="458"/>
      <c r="AF18" s="458"/>
      <c r="AG18" s="666"/>
      <c r="AH18" s="666"/>
      <c r="AI18" s="458"/>
      <c r="AJ18" s="619"/>
      <c r="AK18" s="422"/>
      <c r="AL18" s="389"/>
      <c r="AM18" s="389"/>
      <c r="AN18" s="389"/>
      <c r="AO18" s="458"/>
      <c r="AP18" s="458"/>
      <c r="AQ18" s="458"/>
      <c r="AR18" s="458"/>
      <c r="AS18" s="422"/>
      <c r="AT18" s="575"/>
      <c r="AU18" s="575"/>
      <c r="AV18" s="853"/>
      <c r="AW18" s="513"/>
      <c r="AX18" s="430"/>
      <c r="AY18" s="430"/>
      <c r="BA18" s="430"/>
      <c r="BB18" s="389"/>
      <c r="BC18" s="389"/>
      <c r="BD18" s="389"/>
      <c r="BE18" s="389"/>
      <c r="BF18" s="389"/>
      <c r="BG18" s="389"/>
      <c r="BH18" s="430"/>
      <c r="BI18" s="389"/>
      <c r="BJ18" s="430"/>
      <c r="BK18" s="430"/>
    </row>
    <row r="19" spans="1:63">
      <c r="B19" s="1" t="s">
        <v>39</v>
      </c>
      <c r="C19" s="4"/>
      <c r="D19" s="4"/>
      <c r="E19" s="281"/>
      <c r="F19" s="458"/>
      <c r="G19" s="458"/>
      <c r="H19" s="458"/>
      <c r="I19" s="458"/>
      <c r="J19" s="660"/>
      <c r="K19" s="458"/>
      <c r="L19" s="458"/>
      <c r="M19" s="458"/>
      <c r="N19" s="458"/>
      <c r="O19" s="458"/>
      <c r="P19" s="458"/>
      <c r="Q19" s="458"/>
      <c r="R19" s="458"/>
      <c r="S19" s="458"/>
      <c r="T19" s="458"/>
      <c r="U19" s="660"/>
      <c r="V19" s="660"/>
      <c r="W19" s="458"/>
      <c r="X19" s="388"/>
      <c r="Y19" s="458"/>
      <c r="Z19" s="458"/>
      <c r="AA19" s="660"/>
      <c r="AB19" s="660"/>
      <c r="AC19" s="660"/>
      <c r="AD19" s="458"/>
      <c r="AE19" s="458"/>
      <c r="AF19" s="458"/>
      <c r="AG19" s="666"/>
      <c r="AH19" s="666"/>
      <c r="AI19" s="458"/>
      <c r="AJ19" s="619"/>
      <c r="AK19" s="422"/>
      <c r="AL19" s="389"/>
      <c r="AM19" s="389"/>
      <c r="AN19" s="389"/>
      <c r="AO19" s="458"/>
      <c r="AP19" s="458"/>
      <c r="AQ19" s="458"/>
      <c r="AR19" s="458"/>
      <c r="AS19" s="422"/>
      <c r="AT19" s="575"/>
      <c r="AU19" s="575"/>
      <c r="AV19" s="853"/>
      <c r="AW19" s="513"/>
      <c r="AX19" s="430"/>
      <c r="AY19" s="430"/>
      <c r="BA19" s="430"/>
      <c r="BB19" s="389"/>
      <c r="BC19" s="389"/>
      <c r="BD19" s="389"/>
      <c r="BE19" s="389"/>
      <c r="BF19" s="389"/>
      <c r="BG19" s="389"/>
      <c r="BH19" s="430"/>
      <c r="BI19" s="389"/>
      <c r="BJ19" s="430"/>
      <c r="BK19" s="430"/>
    </row>
    <row r="20" spans="1:63">
      <c r="B20" s="4" t="s">
        <v>212</v>
      </c>
      <c r="D20" s="4"/>
      <c r="E20" s="281"/>
      <c r="F20" s="458"/>
      <c r="G20" s="458"/>
      <c r="H20" s="458"/>
      <c r="I20" s="458"/>
      <c r="J20" s="660"/>
      <c r="K20" s="458"/>
      <c r="L20" s="458"/>
      <c r="M20" s="458"/>
      <c r="N20" s="458"/>
      <c r="O20" s="458"/>
      <c r="P20" s="458"/>
      <c r="Q20" s="458"/>
      <c r="R20" s="458"/>
      <c r="S20" s="458"/>
      <c r="T20" s="458"/>
      <c r="U20" s="660"/>
      <c r="V20" s="660"/>
      <c r="W20" s="458"/>
      <c r="X20" s="388"/>
      <c r="Y20" s="458"/>
      <c r="Z20" s="458"/>
      <c r="AA20" s="660"/>
      <c r="AB20" s="660"/>
      <c r="AC20" s="660"/>
      <c r="AD20" s="458"/>
      <c r="AE20" s="458"/>
      <c r="AF20" s="458"/>
      <c r="AG20" s="666"/>
      <c r="AH20" s="666"/>
      <c r="AI20" s="458"/>
      <c r="AJ20" s="619"/>
      <c r="AK20" s="422"/>
      <c r="AL20" s="389"/>
      <c r="AM20" s="389"/>
      <c r="AN20" s="389"/>
      <c r="AO20" s="458"/>
      <c r="AP20" s="458"/>
      <c r="AQ20" s="458"/>
      <c r="AR20" s="458"/>
      <c r="AS20" s="422"/>
      <c r="AT20" s="575"/>
      <c r="AU20" s="575"/>
      <c r="AV20" s="853"/>
      <c r="AW20" s="513"/>
      <c r="AX20" s="430"/>
      <c r="AY20" s="430"/>
      <c r="BA20" s="430"/>
      <c r="BB20" s="389"/>
      <c r="BC20" s="389"/>
      <c r="BD20" s="389"/>
      <c r="BE20" s="389"/>
      <c r="BF20" s="389"/>
      <c r="BG20" s="389"/>
      <c r="BH20" s="430"/>
      <c r="BI20" s="389"/>
      <c r="BJ20" s="430"/>
      <c r="BK20" s="430"/>
    </row>
    <row r="21" spans="1:63">
      <c r="A21" s="154">
        <v>5</v>
      </c>
      <c r="C21" s="4" t="s">
        <v>40</v>
      </c>
      <c r="D21" s="4"/>
      <c r="E21" s="281">
        <f>'ROO INPUT'!$F22</f>
        <v>164944</v>
      </c>
      <c r="F21" s="458">
        <v>0</v>
      </c>
      <c r="G21" s="458">
        <v>0</v>
      </c>
      <c r="H21" s="458">
        <v>0</v>
      </c>
      <c r="I21" s="458">
        <v>0</v>
      </c>
      <c r="J21" s="660">
        <v>0</v>
      </c>
      <c r="K21" s="458">
        <v>0</v>
      </c>
      <c r="L21" s="458">
        <v>0</v>
      </c>
      <c r="M21" s="458">
        <v>0</v>
      </c>
      <c r="N21" s="458">
        <v>0</v>
      </c>
      <c r="O21" s="458">
        <v>0</v>
      </c>
      <c r="P21" s="458">
        <v>0</v>
      </c>
      <c r="Q21" s="458">
        <v>0</v>
      </c>
      <c r="R21" s="458">
        <v>10600</v>
      </c>
      <c r="S21" s="458">
        <v>-88985</v>
      </c>
      <c r="T21" s="458">
        <v>0</v>
      </c>
      <c r="U21" s="660">
        <v>0</v>
      </c>
      <c r="V21" s="660">
        <v>0</v>
      </c>
      <c r="W21" s="458">
        <v>0</v>
      </c>
      <c r="X21" s="388">
        <f>SUM(E21:W21)</f>
        <v>86559</v>
      </c>
      <c r="Y21" s="458">
        <v>0</v>
      </c>
      <c r="Z21" s="458">
        <v>0</v>
      </c>
      <c r="AA21" s="660">
        <v>0</v>
      </c>
      <c r="AB21" s="660">
        <v>0</v>
      </c>
      <c r="AC21" s="660">
        <v>0</v>
      </c>
      <c r="AD21" s="458">
        <v>-86559</v>
      </c>
      <c r="AE21" s="458">
        <v>0</v>
      </c>
      <c r="AF21" s="458">
        <v>0</v>
      </c>
      <c r="AG21" s="666">
        <v>0</v>
      </c>
      <c r="AH21" s="666">
        <v>0</v>
      </c>
      <c r="AI21" s="458">
        <v>0</v>
      </c>
      <c r="AJ21" s="619"/>
      <c r="AK21" s="422">
        <f>SUM(X21:AJ21)</f>
        <v>0</v>
      </c>
      <c r="AL21" s="389">
        <v>0</v>
      </c>
      <c r="AM21" s="389">
        <v>0</v>
      </c>
      <c r="AN21" s="389">
        <v>0</v>
      </c>
      <c r="AO21" s="458">
        <v>0</v>
      </c>
      <c r="AP21" s="458">
        <v>0</v>
      </c>
      <c r="AQ21" s="458">
        <v>0</v>
      </c>
      <c r="AR21" s="458">
        <v>0</v>
      </c>
      <c r="AS21" s="422">
        <f>SUM(AK21:AR21)</f>
        <v>0</v>
      </c>
      <c r="AT21" s="575">
        <v>0</v>
      </c>
      <c r="AU21" s="575">
        <v>0</v>
      </c>
      <c r="AV21" s="853">
        <f>SUM(AS21:AU21)</f>
        <v>0</v>
      </c>
      <c r="AW21" s="513"/>
      <c r="AX21" s="430"/>
      <c r="AY21" s="430"/>
      <c r="BA21" s="430"/>
      <c r="BB21" s="389"/>
      <c r="BC21" s="389"/>
      <c r="BD21" s="389"/>
      <c r="BE21" s="389"/>
      <c r="BF21" s="389"/>
      <c r="BG21" s="389"/>
      <c r="BH21" s="430"/>
      <c r="BI21" s="389"/>
      <c r="BJ21" s="430"/>
      <c r="BK21" s="430"/>
    </row>
    <row r="22" spans="1:63">
      <c r="A22" s="154">
        <v>6</v>
      </c>
      <c r="C22" s="4" t="s">
        <v>41</v>
      </c>
      <c r="D22" s="4"/>
      <c r="E22" s="281">
        <f>'ROO INPUT'!$F23</f>
        <v>810</v>
      </c>
      <c r="F22" s="458">
        <v>0</v>
      </c>
      <c r="G22" s="458">
        <v>0</v>
      </c>
      <c r="H22" s="458">
        <v>0</v>
      </c>
      <c r="I22" s="458">
        <v>0</v>
      </c>
      <c r="J22" s="660">
        <v>0</v>
      </c>
      <c r="K22" s="458">
        <v>0</v>
      </c>
      <c r="L22" s="458">
        <v>0</v>
      </c>
      <c r="M22" s="458">
        <v>0</v>
      </c>
      <c r="N22" s="458">
        <v>0</v>
      </c>
      <c r="O22" s="458">
        <v>0</v>
      </c>
      <c r="P22" s="458">
        <v>0</v>
      </c>
      <c r="Q22" s="458">
        <v>0</v>
      </c>
      <c r="R22" s="458">
        <v>9</v>
      </c>
      <c r="S22" s="458">
        <v>0</v>
      </c>
      <c r="T22" s="458">
        <v>0</v>
      </c>
      <c r="U22" s="660">
        <v>0</v>
      </c>
      <c r="V22" s="660">
        <v>4</v>
      </c>
      <c r="W22" s="458">
        <v>0</v>
      </c>
      <c r="X22" s="388">
        <f>SUM(E22:W22)</f>
        <v>823</v>
      </c>
      <c r="Y22" s="458">
        <v>21</v>
      </c>
      <c r="Z22" s="458">
        <v>-25</v>
      </c>
      <c r="AA22" s="660">
        <v>13</v>
      </c>
      <c r="AB22" s="660">
        <v>0</v>
      </c>
      <c r="AC22" s="660">
        <v>0</v>
      </c>
      <c r="AD22" s="458">
        <v>0</v>
      </c>
      <c r="AE22" s="458">
        <v>0</v>
      </c>
      <c r="AF22" s="458">
        <v>0</v>
      </c>
      <c r="AG22" s="666">
        <v>0</v>
      </c>
      <c r="AH22" s="666">
        <v>0</v>
      </c>
      <c r="AI22" s="458">
        <v>0</v>
      </c>
      <c r="AJ22" s="619"/>
      <c r="AK22" s="422">
        <f>SUM(X22:AJ22)</f>
        <v>832</v>
      </c>
      <c r="AL22" s="389">
        <v>0</v>
      </c>
      <c r="AM22" s="389">
        <v>0</v>
      </c>
      <c r="AN22" s="389">
        <v>0</v>
      </c>
      <c r="AO22" s="458">
        <v>0</v>
      </c>
      <c r="AP22" s="458">
        <v>0</v>
      </c>
      <c r="AQ22" s="458">
        <v>0</v>
      </c>
      <c r="AR22" s="458">
        <v>0</v>
      </c>
      <c r="AS22" s="422">
        <f>SUM(AK22:AR22)</f>
        <v>832</v>
      </c>
      <c r="AT22" s="575">
        <v>0</v>
      </c>
      <c r="AU22" s="575">
        <v>74.459960175852302</v>
      </c>
      <c r="AV22" s="853">
        <f>SUM(AS22:AU22)</f>
        <v>906.4599601758523</v>
      </c>
      <c r="AW22" s="513"/>
      <c r="AX22" s="430"/>
      <c r="AY22" s="430"/>
      <c r="BA22" s="430"/>
      <c r="BB22" s="389"/>
      <c r="BC22" s="389"/>
      <c r="BD22" s="389"/>
      <c r="BE22" s="389"/>
      <c r="BF22" s="389"/>
      <c r="BG22" s="389"/>
      <c r="BH22" s="430"/>
      <c r="BI22" s="389"/>
      <c r="BJ22" s="430"/>
      <c r="BK22" s="430"/>
    </row>
    <row r="23" spans="1:63" ht="12" thickBot="1">
      <c r="A23" s="154">
        <v>7</v>
      </c>
      <c r="C23" s="4" t="s">
        <v>42</v>
      </c>
      <c r="D23" s="4"/>
      <c r="E23" s="283">
        <f>'ROO INPUT'!$F24</f>
        <v>8665</v>
      </c>
      <c r="F23" s="390">
        <v>0</v>
      </c>
      <c r="G23" s="390">
        <v>0</v>
      </c>
      <c r="H23" s="390">
        <v>0</v>
      </c>
      <c r="I23" s="390">
        <v>0</v>
      </c>
      <c r="J23" s="661">
        <v>0</v>
      </c>
      <c r="K23" s="390">
        <v>0</v>
      </c>
      <c r="L23" s="390">
        <v>0</v>
      </c>
      <c r="M23" s="390">
        <v>0</v>
      </c>
      <c r="N23" s="390">
        <v>0</v>
      </c>
      <c r="O23" s="390">
        <v>0</v>
      </c>
      <c r="P23" s="390">
        <v>0</v>
      </c>
      <c r="Q23" s="390">
        <v>0</v>
      </c>
      <c r="R23" s="390">
        <v>0</v>
      </c>
      <c r="S23" s="390">
        <v>-8665</v>
      </c>
      <c r="T23" s="390">
        <v>0</v>
      </c>
      <c r="U23" s="661">
        <v>0</v>
      </c>
      <c r="V23" s="661">
        <v>0</v>
      </c>
      <c r="W23" s="390">
        <v>0</v>
      </c>
      <c r="X23" s="391">
        <f>SUM(E23:W23)</f>
        <v>0</v>
      </c>
      <c r="Y23" s="390">
        <v>0</v>
      </c>
      <c r="Z23" s="390">
        <v>0</v>
      </c>
      <c r="AA23" s="661">
        <v>0</v>
      </c>
      <c r="AB23" s="661">
        <v>0</v>
      </c>
      <c r="AC23" s="661">
        <v>0</v>
      </c>
      <c r="AD23" s="390">
        <v>0</v>
      </c>
      <c r="AE23" s="390">
        <v>0</v>
      </c>
      <c r="AF23" s="390">
        <v>0</v>
      </c>
      <c r="AG23" s="661">
        <v>0</v>
      </c>
      <c r="AH23" s="661">
        <v>0</v>
      </c>
      <c r="AI23" s="390">
        <v>0</v>
      </c>
      <c r="AJ23" s="620"/>
      <c r="AK23" s="423">
        <f>SUM(X23:AJ23)</f>
        <v>0</v>
      </c>
      <c r="AL23" s="390">
        <v>0</v>
      </c>
      <c r="AM23" s="390">
        <v>0</v>
      </c>
      <c r="AN23" s="390">
        <v>0</v>
      </c>
      <c r="AO23" s="390">
        <v>0</v>
      </c>
      <c r="AP23" s="390">
        <v>0</v>
      </c>
      <c r="AQ23" s="390">
        <v>0</v>
      </c>
      <c r="AR23" s="390">
        <v>0</v>
      </c>
      <c r="AS23" s="423">
        <f>SUM(AK23:AR23)</f>
        <v>0</v>
      </c>
      <c r="AT23" s="576">
        <v>0</v>
      </c>
      <c r="AU23" s="576">
        <v>0</v>
      </c>
      <c r="AV23" s="854">
        <f>SUM(AS23:AU23)</f>
        <v>0</v>
      </c>
      <c r="AW23" s="513"/>
      <c r="AX23" s="430"/>
      <c r="AY23" s="430"/>
      <c r="BA23" s="430"/>
      <c r="BB23" s="389"/>
      <c r="BC23" s="389"/>
      <c r="BD23" s="389"/>
      <c r="BE23" s="389"/>
      <c r="BF23" s="389"/>
      <c r="BG23" s="389"/>
      <c r="BH23" s="430"/>
      <c r="BI23" s="389"/>
      <c r="BJ23" s="430"/>
      <c r="BK23" s="430"/>
    </row>
    <row r="24" spans="1:63">
      <c r="A24" s="154">
        <v>8</v>
      </c>
      <c r="B24" s="4" t="s">
        <v>43</v>
      </c>
      <c r="C24" s="4"/>
      <c r="E24" s="328">
        <f>SUM(E21:E23)</f>
        <v>174419</v>
      </c>
      <c r="F24" s="328">
        <f t="shared" ref="F24:N24" si="28">SUM(F21:F23)</f>
        <v>0</v>
      </c>
      <c r="G24" s="328">
        <f t="shared" si="28"/>
        <v>0</v>
      </c>
      <c r="H24" s="328">
        <f t="shared" si="28"/>
        <v>0</v>
      </c>
      <c r="I24" s="328">
        <f t="shared" si="28"/>
        <v>0</v>
      </c>
      <c r="J24" s="217">
        <f>SUM(J21:J23)</f>
        <v>0</v>
      </c>
      <c r="K24" s="328">
        <f t="shared" si="28"/>
        <v>0</v>
      </c>
      <c r="L24" s="328">
        <f t="shared" si="28"/>
        <v>0</v>
      </c>
      <c r="M24" s="328">
        <f t="shared" si="28"/>
        <v>0</v>
      </c>
      <c r="N24" s="328">
        <f t="shared" si="28"/>
        <v>0</v>
      </c>
      <c r="O24" s="328">
        <f t="shared" ref="O24:P24" si="29">SUM(O21:O23)</f>
        <v>0</v>
      </c>
      <c r="P24" s="328">
        <f t="shared" si="29"/>
        <v>0</v>
      </c>
      <c r="Q24" s="328">
        <f>SUM(Q21:Q23)</f>
        <v>0</v>
      </c>
      <c r="R24" s="328">
        <f>SUM(R21:R23)</f>
        <v>10609</v>
      </c>
      <c r="S24" s="328">
        <f>SUM(S21:S23)</f>
        <v>-97650</v>
      </c>
      <c r="T24" s="328">
        <f t="shared" ref="T24" si="30">SUM(T21:T23)</f>
        <v>0</v>
      </c>
      <c r="U24" s="217">
        <f>SUM(U21:U23)</f>
        <v>0</v>
      </c>
      <c r="V24" s="217">
        <f>SUM(V21:V23)</f>
        <v>4</v>
      </c>
      <c r="W24" s="328">
        <f>SUM(W21:W23)</f>
        <v>0</v>
      </c>
      <c r="X24" s="388">
        <f>SUM(X21:X23)</f>
        <v>87382</v>
      </c>
      <c r="Y24" s="328">
        <f t="shared" ref="Y24:Z24" si="31">SUM(Y21:Y23)</f>
        <v>21</v>
      </c>
      <c r="Z24" s="328">
        <f t="shared" si="31"/>
        <v>-25</v>
      </c>
      <c r="AA24" s="217">
        <f>SUM(AA21:AA23)</f>
        <v>13</v>
      </c>
      <c r="AB24" s="217">
        <f>SUM(AB21:AB23)</f>
        <v>0</v>
      </c>
      <c r="AC24" s="217">
        <f t="shared" ref="AC24:AL24" si="32">SUM(AC21:AC23)</f>
        <v>0</v>
      </c>
      <c r="AD24" s="328">
        <f>SUM(AD21:AD23)</f>
        <v>-86559</v>
      </c>
      <c r="AE24" s="328">
        <f t="shared" ref="AE24" si="33">SUM(AE21:AE23)</f>
        <v>0</v>
      </c>
      <c r="AF24" s="328">
        <f>SUM(AF21:AF23)</f>
        <v>0</v>
      </c>
      <c r="AG24" s="744">
        <f>SUM(AG21:AG23)</f>
        <v>0</v>
      </c>
      <c r="AH24" s="744">
        <f>SUM(AH21:AH23)</f>
        <v>0</v>
      </c>
      <c r="AI24" s="328">
        <f>SUM(AI21:AI23)</f>
        <v>0</v>
      </c>
      <c r="AJ24" s="621"/>
      <c r="AK24" s="422">
        <f t="shared" si="32"/>
        <v>832</v>
      </c>
      <c r="AL24" s="290">
        <f t="shared" si="32"/>
        <v>0</v>
      </c>
      <c r="AM24" s="290">
        <f t="shared" ref="AM24:AS24" si="34">SUM(AM21:AM23)</f>
        <v>0</v>
      </c>
      <c r="AN24" s="290">
        <f>SUM(AN21:AN23)</f>
        <v>0</v>
      </c>
      <c r="AO24" s="328">
        <f t="shared" si="34"/>
        <v>0</v>
      </c>
      <c r="AP24" s="328">
        <f t="shared" ref="AP24:AR24" si="35">SUM(AP21:AP23)</f>
        <v>0</v>
      </c>
      <c r="AQ24" s="328">
        <f>SUM(AQ21:AQ23)</f>
        <v>0</v>
      </c>
      <c r="AR24" s="328">
        <f t="shared" si="35"/>
        <v>0</v>
      </c>
      <c r="AS24" s="422">
        <f t="shared" si="34"/>
        <v>832</v>
      </c>
      <c r="AT24" s="577">
        <f t="shared" ref="AT24:AU24" si="36">SUM(AT21:AT23)</f>
        <v>0</v>
      </c>
      <c r="AU24" s="577">
        <f t="shared" si="36"/>
        <v>74.459960175852302</v>
      </c>
      <c r="AV24" s="853">
        <f t="shared" ref="AV24" si="37">SUM(AV21:AV23)</f>
        <v>906.4599601758523</v>
      </c>
      <c r="AW24" s="513"/>
      <c r="AX24" s="430"/>
      <c r="AY24" s="430"/>
      <c r="BA24" s="430"/>
      <c r="BB24" s="536"/>
      <c r="BC24" s="536"/>
      <c r="BD24" s="536"/>
      <c r="BE24" s="536"/>
      <c r="BF24" s="536"/>
      <c r="BG24" s="536"/>
      <c r="BH24" s="430"/>
      <c r="BI24" s="536"/>
      <c r="BJ24" s="430"/>
      <c r="BK24" s="430"/>
    </row>
    <row r="25" spans="1:63">
      <c r="B25" s="4"/>
      <c r="C25" s="4"/>
      <c r="E25" s="281"/>
      <c r="F25" s="281"/>
      <c r="G25" s="281"/>
      <c r="H25" s="281"/>
      <c r="I25" s="281"/>
      <c r="J25" s="215"/>
      <c r="K25" s="281"/>
      <c r="L25" s="281"/>
      <c r="M25" s="281"/>
      <c r="N25" s="281"/>
      <c r="O25" s="281"/>
      <c r="P25" s="281"/>
      <c r="Q25" s="281"/>
      <c r="R25" s="281"/>
      <c r="S25" s="281"/>
      <c r="T25" s="281"/>
      <c r="U25" s="215"/>
      <c r="V25" s="215"/>
      <c r="W25" s="281"/>
      <c r="X25" s="388"/>
      <c r="Y25" s="281"/>
      <c r="Z25" s="281"/>
      <c r="AA25" s="215"/>
      <c r="AB25" s="215"/>
      <c r="AC25" s="215"/>
      <c r="AD25" s="281"/>
      <c r="AE25" s="328"/>
      <c r="AF25" s="328"/>
      <c r="AG25" s="744"/>
      <c r="AH25" s="744"/>
      <c r="AI25" s="281"/>
      <c r="AJ25" s="621"/>
      <c r="AK25" s="422"/>
      <c r="AL25" s="536"/>
      <c r="AM25" s="536"/>
      <c r="AN25" s="536"/>
      <c r="AO25" s="281"/>
      <c r="AP25" s="281"/>
      <c r="AQ25" s="281"/>
      <c r="AR25" s="281"/>
      <c r="AS25" s="422"/>
      <c r="AT25" s="577"/>
      <c r="AU25" s="577"/>
      <c r="AV25" s="853"/>
      <c r="AW25" s="513"/>
      <c r="AX25" s="430"/>
      <c r="AY25" s="430"/>
      <c r="BA25" s="430"/>
      <c r="BB25" s="536"/>
      <c r="BC25" s="536"/>
      <c r="BD25" s="536"/>
      <c r="BE25" s="536"/>
      <c r="BF25" s="536"/>
      <c r="BG25" s="536"/>
      <c r="BH25" s="430"/>
      <c r="BI25" s="536"/>
      <c r="BJ25" s="430"/>
      <c r="BK25" s="430"/>
    </row>
    <row r="26" spans="1:63">
      <c r="B26" s="4" t="s">
        <v>44</v>
      </c>
      <c r="D26" s="4"/>
      <c r="E26" s="281"/>
      <c r="F26" s="458"/>
      <c r="G26" s="458"/>
      <c r="H26" s="458"/>
      <c r="I26" s="458"/>
      <c r="J26" s="660"/>
      <c r="K26" s="458"/>
      <c r="L26" s="458"/>
      <c r="M26" s="458"/>
      <c r="N26" s="458"/>
      <c r="O26" s="458"/>
      <c r="P26" s="458"/>
      <c r="Q26" s="458"/>
      <c r="R26" s="458"/>
      <c r="S26" s="458"/>
      <c r="T26" s="458"/>
      <c r="U26" s="660"/>
      <c r="V26" s="660"/>
      <c r="W26" s="458"/>
      <c r="X26" s="388"/>
      <c r="Y26" s="458"/>
      <c r="Z26" s="458"/>
      <c r="AA26" s="660"/>
      <c r="AB26" s="660"/>
      <c r="AC26" s="660"/>
      <c r="AD26" s="458"/>
      <c r="AE26" s="458"/>
      <c r="AF26" s="458"/>
      <c r="AG26" s="666"/>
      <c r="AH26" s="666"/>
      <c r="AI26" s="458"/>
      <c r="AJ26" s="619"/>
      <c r="AK26" s="422"/>
      <c r="AL26" s="389"/>
      <c r="AM26" s="389"/>
      <c r="AN26" s="389"/>
      <c r="AO26" s="458"/>
      <c r="AP26" s="458"/>
      <c r="AQ26" s="458"/>
      <c r="AR26" s="458"/>
      <c r="AS26" s="422"/>
      <c r="AT26" s="575"/>
      <c r="AU26" s="575"/>
      <c r="AV26" s="853"/>
      <c r="AW26" s="513"/>
      <c r="AX26" s="430"/>
      <c r="AY26" s="430"/>
      <c r="BA26" s="430"/>
      <c r="BB26" s="389"/>
      <c r="BC26" s="389"/>
      <c r="BD26" s="389"/>
      <c r="BE26" s="389"/>
      <c r="BF26" s="389"/>
      <c r="BG26" s="389"/>
      <c r="BH26" s="430"/>
      <c r="BI26" s="389"/>
      <c r="BJ26" s="430"/>
      <c r="BK26" s="430"/>
    </row>
    <row r="27" spans="1:63">
      <c r="A27" s="154">
        <v>9</v>
      </c>
      <c r="C27" s="4" t="s">
        <v>45</v>
      </c>
      <c r="D27" s="4"/>
      <c r="E27" s="281">
        <f>'ROO INPUT'!$F28</f>
        <v>833</v>
      </c>
      <c r="F27" s="458">
        <v>0</v>
      </c>
      <c r="G27" s="458">
        <v>0</v>
      </c>
      <c r="H27" s="458">
        <v>0</v>
      </c>
      <c r="I27" s="458">
        <v>0</v>
      </c>
      <c r="J27" s="660">
        <v>0</v>
      </c>
      <c r="K27" s="458">
        <v>0</v>
      </c>
      <c r="L27" s="458">
        <v>0</v>
      </c>
      <c r="M27" s="458">
        <v>0</v>
      </c>
      <c r="N27" s="458">
        <v>0</v>
      </c>
      <c r="O27" s="458">
        <v>0</v>
      </c>
      <c r="P27" s="458">
        <v>0</v>
      </c>
      <c r="Q27" s="458">
        <v>0</v>
      </c>
      <c r="R27" s="458">
        <v>0</v>
      </c>
      <c r="S27" s="458">
        <v>0</v>
      </c>
      <c r="T27" s="458">
        <v>0</v>
      </c>
      <c r="U27" s="660">
        <v>0</v>
      </c>
      <c r="V27" s="660">
        <v>1</v>
      </c>
      <c r="W27" s="458">
        <v>0</v>
      </c>
      <c r="X27" s="388">
        <f>SUM(E27:W27)</f>
        <v>834</v>
      </c>
      <c r="Y27" s="458">
        <v>0</v>
      </c>
      <c r="Z27" s="458">
        <v>0</v>
      </c>
      <c r="AA27" s="660">
        <v>0</v>
      </c>
      <c r="AB27" s="660">
        <v>0</v>
      </c>
      <c r="AC27" s="660">
        <v>0</v>
      </c>
      <c r="AD27" s="458">
        <v>0</v>
      </c>
      <c r="AE27" s="458">
        <v>0</v>
      </c>
      <c r="AF27" s="458">
        <v>0</v>
      </c>
      <c r="AG27" s="666">
        <v>0</v>
      </c>
      <c r="AH27" s="666">
        <v>0</v>
      </c>
      <c r="AI27" s="458">
        <v>0</v>
      </c>
      <c r="AJ27" s="619"/>
      <c r="AK27" s="422">
        <f>SUM(X27:AJ27)</f>
        <v>834</v>
      </c>
      <c r="AL27" s="389">
        <v>0</v>
      </c>
      <c r="AM27" s="389">
        <v>0</v>
      </c>
      <c r="AN27" s="389">
        <v>0</v>
      </c>
      <c r="AO27" s="458">
        <v>0</v>
      </c>
      <c r="AP27" s="458">
        <v>0</v>
      </c>
      <c r="AQ27" s="458">
        <v>0</v>
      </c>
      <c r="AR27" s="458">
        <v>0</v>
      </c>
      <c r="AS27" s="422">
        <f>SUM(AK27:AR27)</f>
        <v>834</v>
      </c>
      <c r="AT27" s="575">
        <v>0</v>
      </c>
      <c r="AU27" s="575">
        <v>89.705333972301332</v>
      </c>
      <c r="AV27" s="853">
        <f>SUM(AS27:AU27)</f>
        <v>923.70533397230133</v>
      </c>
      <c r="AW27" s="513"/>
      <c r="AX27" s="430"/>
      <c r="AY27" s="430"/>
      <c r="BA27" s="430"/>
      <c r="BB27" s="389"/>
      <c r="BC27" s="389"/>
      <c r="BD27" s="389"/>
      <c r="BE27" s="389"/>
      <c r="BF27" s="389"/>
      <c r="BG27" s="389"/>
      <c r="BH27" s="430"/>
      <c r="BI27" s="389"/>
      <c r="BJ27" s="430"/>
      <c r="BK27" s="430"/>
    </row>
    <row r="28" spans="1:63">
      <c r="A28" s="154">
        <v>10</v>
      </c>
      <c r="C28" s="4" t="s">
        <v>208</v>
      </c>
      <c r="D28" s="4"/>
      <c r="E28" s="281">
        <f>'ROO INPUT'!$F29</f>
        <v>429</v>
      </c>
      <c r="F28" s="458">
        <v>0</v>
      </c>
      <c r="G28" s="458">
        <v>0</v>
      </c>
      <c r="H28" s="458">
        <v>0</v>
      </c>
      <c r="I28" s="458">
        <v>0</v>
      </c>
      <c r="J28" s="660">
        <v>0</v>
      </c>
      <c r="K28" s="458">
        <v>0</v>
      </c>
      <c r="L28" s="458">
        <v>0</v>
      </c>
      <c r="M28" s="458">
        <v>0</v>
      </c>
      <c r="N28" s="458">
        <v>0</v>
      </c>
      <c r="O28" s="458">
        <v>0</v>
      </c>
      <c r="P28" s="458">
        <v>0</v>
      </c>
      <c r="Q28" s="458">
        <v>0</v>
      </c>
      <c r="R28" s="458">
        <v>0</v>
      </c>
      <c r="S28" s="458">
        <v>0</v>
      </c>
      <c r="T28" s="458">
        <v>0</v>
      </c>
      <c r="U28" s="660">
        <v>0</v>
      </c>
      <c r="V28" s="660">
        <v>0</v>
      </c>
      <c r="W28" s="458">
        <v>0</v>
      </c>
      <c r="X28" s="388">
        <f>SUM(E28:W28)</f>
        <v>429</v>
      </c>
      <c r="Y28" s="458">
        <v>0</v>
      </c>
      <c r="Z28" s="458">
        <v>0</v>
      </c>
      <c r="AA28" s="660">
        <v>0</v>
      </c>
      <c r="AB28" s="660">
        <v>0</v>
      </c>
      <c r="AC28" s="660">
        <v>0</v>
      </c>
      <c r="AD28" s="458">
        <v>0</v>
      </c>
      <c r="AE28" s="458">
        <v>0</v>
      </c>
      <c r="AF28" s="458">
        <v>0</v>
      </c>
      <c r="AG28" s="666">
        <f>-2+12</f>
        <v>10</v>
      </c>
      <c r="AH28" s="666">
        <v>0</v>
      </c>
      <c r="AI28" s="458">
        <v>0</v>
      </c>
      <c r="AJ28" s="619"/>
      <c r="AK28" s="422">
        <f>SUM(X28:AJ28)</f>
        <v>439</v>
      </c>
      <c r="AL28" s="389">
        <v>0</v>
      </c>
      <c r="AM28" s="389">
        <v>0</v>
      </c>
      <c r="AN28" s="389">
        <v>0</v>
      </c>
      <c r="AO28" s="458">
        <v>0</v>
      </c>
      <c r="AP28" s="458">
        <v>0</v>
      </c>
      <c r="AQ28" s="458">
        <v>0</v>
      </c>
      <c r="AR28" s="458">
        <v>0</v>
      </c>
      <c r="AS28" s="422">
        <f>SUM(AK28:AR28)</f>
        <v>439</v>
      </c>
      <c r="AT28" s="575">
        <v>0</v>
      </c>
      <c r="AU28" s="575">
        <v>31.933333333333337</v>
      </c>
      <c r="AV28" s="853">
        <f>SUM(AS28:AU28)</f>
        <v>470.93333333333334</v>
      </c>
      <c r="AW28" s="513"/>
      <c r="AX28" s="430"/>
      <c r="AY28" s="430"/>
      <c r="BA28" s="430"/>
      <c r="BB28" s="389"/>
      <c r="BC28" s="389"/>
      <c r="BD28" s="389"/>
      <c r="BE28" s="389"/>
      <c r="BF28" s="389"/>
      <c r="BG28" s="389"/>
      <c r="BH28" s="430"/>
      <c r="BI28" s="389"/>
      <c r="BJ28" s="430"/>
      <c r="BK28" s="430"/>
    </row>
    <row r="29" spans="1:63">
      <c r="A29" s="154">
        <v>11</v>
      </c>
      <c r="C29" s="4" t="s">
        <v>22</v>
      </c>
      <c r="D29" s="4"/>
      <c r="E29" s="283">
        <f>'ROO INPUT'!$F30</f>
        <v>292</v>
      </c>
      <c r="F29" s="390">
        <v>0</v>
      </c>
      <c r="G29" s="390">
        <v>0</v>
      </c>
      <c r="H29" s="390">
        <v>0</v>
      </c>
      <c r="I29" s="390">
        <v>0</v>
      </c>
      <c r="J29" s="661">
        <v>-26</v>
      </c>
      <c r="K29" s="390">
        <v>0</v>
      </c>
      <c r="L29" s="390">
        <v>0</v>
      </c>
      <c r="M29" s="390">
        <v>0</v>
      </c>
      <c r="N29" s="390">
        <v>0</v>
      </c>
      <c r="O29" s="390">
        <v>0</v>
      </c>
      <c r="P29" s="390">
        <v>0</v>
      </c>
      <c r="Q29" s="390">
        <v>0</v>
      </c>
      <c r="R29" s="390">
        <v>0</v>
      </c>
      <c r="S29" s="390">
        <v>0</v>
      </c>
      <c r="T29" s="390">
        <v>0</v>
      </c>
      <c r="U29" s="661">
        <v>0</v>
      </c>
      <c r="V29" s="661">
        <v>0</v>
      </c>
      <c r="W29" s="390">
        <v>0</v>
      </c>
      <c r="X29" s="391">
        <f>SUM(E29:W29)</f>
        <v>266</v>
      </c>
      <c r="Y29" s="390">
        <v>0</v>
      </c>
      <c r="Z29" s="390">
        <v>0</v>
      </c>
      <c r="AA29" s="661">
        <v>0</v>
      </c>
      <c r="AB29" s="661">
        <v>0</v>
      </c>
      <c r="AC29" s="661">
        <v>17</v>
      </c>
      <c r="AD29" s="390">
        <v>0</v>
      </c>
      <c r="AE29" s="390">
        <v>0</v>
      </c>
      <c r="AF29" s="390">
        <v>0</v>
      </c>
      <c r="AG29" s="661">
        <v>0</v>
      </c>
      <c r="AH29" s="661">
        <v>0</v>
      </c>
      <c r="AI29" s="390">
        <v>0</v>
      </c>
      <c r="AJ29" s="620"/>
      <c r="AK29" s="423">
        <f>SUM(X29:AJ29)</f>
        <v>283</v>
      </c>
      <c r="AL29" s="390">
        <v>0</v>
      </c>
      <c r="AM29" s="390">
        <v>0</v>
      </c>
      <c r="AN29" s="390">
        <v>0</v>
      </c>
      <c r="AO29" s="390">
        <v>0</v>
      </c>
      <c r="AP29" s="390">
        <v>0</v>
      </c>
      <c r="AQ29" s="390">
        <v>0</v>
      </c>
      <c r="AR29" s="390">
        <v>0</v>
      </c>
      <c r="AS29" s="423">
        <f>SUM(AK29:AR29)</f>
        <v>283</v>
      </c>
      <c r="AT29" s="576">
        <v>0</v>
      </c>
      <c r="AU29" s="576">
        <v>-64.153922804490065</v>
      </c>
      <c r="AV29" s="517">
        <f>SUM(AS29:AU29)</f>
        <v>218.84607719550993</v>
      </c>
      <c r="AW29" s="513"/>
      <c r="AX29" s="430"/>
      <c r="AY29" s="430"/>
      <c r="BA29" s="430"/>
      <c r="BB29" s="389"/>
      <c r="BC29" s="389"/>
      <c r="BD29" s="389"/>
      <c r="BE29" s="389"/>
      <c r="BF29" s="389"/>
      <c r="BG29" s="389"/>
      <c r="BH29" s="430"/>
      <c r="BI29" s="389"/>
      <c r="BJ29" s="430"/>
      <c r="BK29" s="430"/>
    </row>
    <row r="30" spans="1:63">
      <c r="A30" s="154">
        <v>12</v>
      </c>
      <c r="B30" s="4" t="s">
        <v>47</v>
      </c>
      <c r="C30" s="4"/>
      <c r="E30" s="281">
        <f t="shared" ref="E30:AA30" si="38">SUM(E27:E29)</f>
        <v>1554</v>
      </c>
      <c r="F30" s="281">
        <f t="shared" si="38"/>
        <v>0</v>
      </c>
      <c r="G30" s="281">
        <f t="shared" si="38"/>
        <v>0</v>
      </c>
      <c r="H30" s="281">
        <f t="shared" si="38"/>
        <v>0</v>
      </c>
      <c r="I30" s="281">
        <f t="shared" si="38"/>
        <v>0</v>
      </c>
      <c r="J30" s="215">
        <f>SUM(J27:J29)</f>
        <v>-26</v>
      </c>
      <c r="K30" s="281">
        <f t="shared" si="38"/>
        <v>0</v>
      </c>
      <c r="L30" s="281">
        <f t="shared" si="38"/>
        <v>0</v>
      </c>
      <c r="M30" s="281">
        <f t="shared" si="38"/>
        <v>0</v>
      </c>
      <c r="N30" s="281">
        <f t="shared" si="38"/>
        <v>0</v>
      </c>
      <c r="O30" s="281">
        <f t="shared" ref="O30:P30" si="39">SUM(O27:O29)</f>
        <v>0</v>
      </c>
      <c r="P30" s="281">
        <f t="shared" si="39"/>
        <v>0</v>
      </c>
      <c r="Q30" s="281">
        <f>SUM(Q27:Q29)</f>
        <v>0</v>
      </c>
      <c r="R30" s="281">
        <f>SUM(R27:R29)</f>
        <v>0</v>
      </c>
      <c r="S30" s="281">
        <f>SUM(S27:S29)</f>
        <v>0</v>
      </c>
      <c r="T30" s="281">
        <f t="shared" ref="T30" si="40">SUM(T27:T29)</f>
        <v>0</v>
      </c>
      <c r="U30" s="215">
        <f>SUM(U27:U29)</f>
        <v>0</v>
      </c>
      <c r="V30" s="215">
        <f t="shared" si="38"/>
        <v>1</v>
      </c>
      <c r="W30" s="281">
        <f>SUM(W27:W29)</f>
        <v>0</v>
      </c>
      <c r="X30" s="388">
        <f t="shared" si="38"/>
        <v>1529</v>
      </c>
      <c r="Y30" s="281">
        <f t="shared" si="38"/>
        <v>0</v>
      </c>
      <c r="Z30" s="281">
        <f t="shared" si="38"/>
        <v>0</v>
      </c>
      <c r="AA30" s="215">
        <f t="shared" si="38"/>
        <v>0</v>
      </c>
      <c r="AB30" s="215">
        <f>SUM(AB27:AB29)</f>
        <v>0</v>
      </c>
      <c r="AC30" s="215">
        <f t="shared" ref="AC30:AL30" si="41">SUM(AC27:AC29)</f>
        <v>17</v>
      </c>
      <c r="AD30" s="281">
        <f>SUM(AD27:AD29)</f>
        <v>0</v>
      </c>
      <c r="AE30" s="328">
        <f t="shared" ref="AE30" si="42">SUM(AE27:AE29)</f>
        <v>0</v>
      </c>
      <c r="AF30" s="328">
        <f>SUM(AF27:AF29)</f>
        <v>0</v>
      </c>
      <c r="AG30" s="744">
        <f>SUM(AG27:AG29)</f>
        <v>10</v>
      </c>
      <c r="AH30" s="744">
        <f>SUM(AH27:AH29)</f>
        <v>0</v>
      </c>
      <c r="AI30" s="281">
        <f>SUM(AI27:AI29)</f>
        <v>0</v>
      </c>
      <c r="AJ30" s="621"/>
      <c r="AK30" s="422">
        <f t="shared" si="41"/>
        <v>1556</v>
      </c>
      <c r="AL30" s="536">
        <f t="shared" si="41"/>
        <v>0</v>
      </c>
      <c r="AM30" s="536">
        <f t="shared" ref="AM30:AS30" si="43">SUM(AM27:AM29)</f>
        <v>0</v>
      </c>
      <c r="AN30" s="536">
        <f>SUM(AN27:AN29)</f>
        <v>0</v>
      </c>
      <c r="AO30" s="281">
        <f t="shared" si="43"/>
        <v>0</v>
      </c>
      <c r="AP30" s="281">
        <f t="shared" ref="AP30:AR30" si="44">SUM(AP27:AP29)</f>
        <v>0</v>
      </c>
      <c r="AQ30" s="281">
        <f>SUM(AQ27:AQ29)</f>
        <v>0</v>
      </c>
      <c r="AR30" s="281">
        <f t="shared" si="44"/>
        <v>0</v>
      </c>
      <c r="AS30" s="422">
        <f t="shared" si="43"/>
        <v>1556</v>
      </c>
      <c r="AT30" s="577">
        <f t="shared" ref="AT30:AU30" si="45">SUM(AT27:AT29)</f>
        <v>0</v>
      </c>
      <c r="AU30" s="577">
        <f t="shared" si="45"/>
        <v>57.484744501144604</v>
      </c>
      <c r="AV30" s="853">
        <f t="shared" ref="AV30" si="46">SUM(AV27:AV29)</f>
        <v>1613.4847445011446</v>
      </c>
      <c r="AW30" s="513"/>
      <c r="AX30" s="430"/>
      <c r="AY30" s="430"/>
      <c r="BA30" s="430"/>
      <c r="BB30" s="536"/>
      <c r="BC30" s="536"/>
      <c r="BD30" s="536"/>
      <c r="BE30" s="536"/>
      <c r="BF30" s="536"/>
      <c r="BG30" s="536"/>
      <c r="BH30" s="430"/>
      <c r="BI30" s="536"/>
      <c r="BJ30" s="430"/>
      <c r="BK30" s="430"/>
    </row>
    <row r="31" spans="1:63">
      <c r="B31" s="4"/>
      <c r="C31" s="4"/>
      <c r="E31" s="281"/>
      <c r="F31" s="281"/>
      <c r="G31" s="281"/>
      <c r="H31" s="281"/>
      <c r="I31" s="281"/>
      <c r="J31" s="215"/>
      <c r="K31" s="281"/>
      <c r="L31" s="281"/>
      <c r="M31" s="281"/>
      <c r="N31" s="281"/>
      <c r="O31" s="281"/>
      <c r="P31" s="281"/>
      <c r="Q31" s="281"/>
      <c r="R31" s="281"/>
      <c r="S31" s="281"/>
      <c r="T31" s="281"/>
      <c r="U31" s="215"/>
      <c r="V31" s="215"/>
      <c r="W31" s="281"/>
      <c r="X31" s="388"/>
      <c r="Y31" s="281"/>
      <c r="Z31" s="281"/>
      <c r="AA31" s="215"/>
      <c r="AB31" s="215"/>
      <c r="AC31" s="215"/>
      <c r="AD31" s="281"/>
      <c r="AE31" s="328"/>
      <c r="AF31" s="328"/>
      <c r="AG31" s="744"/>
      <c r="AH31" s="744"/>
      <c r="AI31" s="281"/>
      <c r="AJ31" s="621"/>
      <c r="AK31" s="422"/>
      <c r="AL31" s="536"/>
      <c r="AM31" s="536"/>
      <c r="AN31" s="536"/>
      <c r="AO31" s="281"/>
      <c r="AP31" s="281"/>
      <c r="AQ31" s="281"/>
      <c r="AR31" s="281"/>
      <c r="AS31" s="422"/>
      <c r="AT31" s="577"/>
      <c r="AU31" s="577"/>
      <c r="AV31" s="853"/>
      <c r="AW31" s="513"/>
      <c r="AX31" s="430"/>
      <c r="AY31" s="430"/>
      <c r="BA31" s="430"/>
      <c r="BB31" s="536"/>
      <c r="BC31" s="536"/>
      <c r="BD31" s="536"/>
      <c r="BE31" s="536"/>
      <c r="BF31" s="536"/>
      <c r="BG31" s="536"/>
      <c r="BH31" s="430"/>
      <c r="BI31" s="536"/>
      <c r="BJ31" s="430"/>
      <c r="BK31" s="430"/>
    </row>
    <row r="32" spans="1:63">
      <c r="B32" s="4" t="s">
        <v>48</v>
      </c>
      <c r="D32" s="4"/>
      <c r="E32" s="281"/>
      <c r="F32" s="458"/>
      <c r="G32" s="458"/>
      <c r="H32" s="458"/>
      <c r="I32" s="458"/>
      <c r="J32" s="660"/>
      <c r="K32" s="458"/>
      <c r="L32" s="458"/>
      <c r="M32" s="458"/>
      <c r="N32" s="458"/>
      <c r="O32" s="458"/>
      <c r="P32" s="458"/>
      <c r="Q32" s="458"/>
      <c r="R32" s="458"/>
      <c r="S32" s="458"/>
      <c r="T32" s="458"/>
      <c r="U32" s="660"/>
      <c r="V32" s="660"/>
      <c r="W32" s="458"/>
      <c r="X32" s="388"/>
      <c r="Y32" s="458"/>
      <c r="Z32" s="458"/>
      <c r="AA32" s="660"/>
      <c r="AB32" s="660"/>
      <c r="AC32" s="660"/>
      <c r="AD32" s="458"/>
      <c r="AE32" s="458"/>
      <c r="AF32" s="458"/>
      <c r="AG32" s="666"/>
      <c r="AH32" s="666"/>
      <c r="AI32" s="458"/>
      <c r="AJ32" s="619"/>
      <c r="AK32" s="422"/>
      <c r="AL32" s="389"/>
      <c r="AM32" s="389"/>
      <c r="AN32" s="389"/>
      <c r="AO32" s="458"/>
      <c r="AP32" s="458"/>
      <c r="AQ32" s="458"/>
      <c r="AR32" s="458"/>
      <c r="AS32" s="422"/>
      <c r="AT32" s="575"/>
      <c r="AU32" s="575"/>
      <c r="AV32" s="853"/>
      <c r="AW32" s="513"/>
      <c r="AX32" s="430"/>
      <c r="AY32" s="430"/>
      <c r="BA32" s="430"/>
      <c r="BB32" s="389"/>
      <c r="BC32" s="389"/>
      <c r="BD32" s="389"/>
      <c r="BE32" s="389"/>
      <c r="BF32" s="389"/>
      <c r="BG32" s="389"/>
      <c r="BH32" s="430"/>
      <c r="BI32" s="389"/>
      <c r="BJ32" s="430"/>
      <c r="BK32" s="430"/>
    </row>
    <row r="33" spans="1:63">
      <c r="A33" s="154">
        <v>13</v>
      </c>
      <c r="C33" s="4" t="s">
        <v>45</v>
      </c>
      <c r="D33" s="4"/>
      <c r="E33" s="281">
        <f>'ROO INPUT'!$F34</f>
        <v>11531</v>
      </c>
      <c r="F33" s="458">
        <v>0</v>
      </c>
      <c r="G33" s="458">
        <v>0</v>
      </c>
      <c r="H33" s="458">
        <v>0</v>
      </c>
      <c r="I33" s="458">
        <v>0</v>
      </c>
      <c r="J33" s="660">
        <v>0</v>
      </c>
      <c r="K33" s="458">
        <v>0</v>
      </c>
      <c r="L33" s="458">
        <v>0</v>
      </c>
      <c r="M33" s="458">
        <v>0</v>
      </c>
      <c r="N33" s="458">
        <v>0</v>
      </c>
      <c r="O33" s="458">
        <v>0</v>
      </c>
      <c r="P33" s="458">
        <v>0</v>
      </c>
      <c r="Q33" s="458">
        <v>0</v>
      </c>
      <c r="R33" s="458">
        <v>0</v>
      </c>
      <c r="S33" s="458">
        <v>0</v>
      </c>
      <c r="T33" s="458">
        <v>0</v>
      </c>
      <c r="U33" s="660">
        <v>0</v>
      </c>
      <c r="V33" s="660">
        <v>60</v>
      </c>
      <c r="W33" s="458">
        <v>0</v>
      </c>
      <c r="X33" s="388">
        <f>SUM(E33:W33)</f>
        <v>11591</v>
      </c>
      <c r="Y33" s="458">
        <v>284</v>
      </c>
      <c r="Z33" s="458"/>
      <c r="AA33" s="660">
        <v>178</v>
      </c>
      <c r="AB33" s="660">
        <v>0</v>
      </c>
      <c r="AC33" s="660">
        <v>0</v>
      </c>
      <c r="AD33" s="458">
        <v>0</v>
      </c>
      <c r="AE33" s="458">
        <v>236</v>
      </c>
      <c r="AF33" s="458">
        <v>0</v>
      </c>
      <c r="AG33" s="666">
        <v>0</v>
      </c>
      <c r="AH33" s="666">
        <v>0</v>
      </c>
      <c r="AI33" s="458">
        <v>0</v>
      </c>
      <c r="AJ33" s="619"/>
      <c r="AK33" s="422">
        <f>SUM(X33:AJ33)</f>
        <v>12289</v>
      </c>
      <c r="AL33" s="389">
        <v>0</v>
      </c>
      <c r="AM33" s="389">
        <v>0</v>
      </c>
      <c r="AN33" s="389">
        <v>0</v>
      </c>
      <c r="AO33" s="458">
        <v>0</v>
      </c>
      <c r="AP33" s="458">
        <v>0</v>
      </c>
      <c r="AQ33" s="458">
        <v>0</v>
      </c>
      <c r="AR33" s="458">
        <v>0</v>
      </c>
      <c r="AS33" s="422">
        <f>SUM(AK33:AR33)</f>
        <v>12289</v>
      </c>
      <c r="AT33" s="575">
        <v>0</v>
      </c>
      <c r="AU33" s="575">
        <v>984.5486439543638</v>
      </c>
      <c r="AV33" s="853">
        <f>SUM(AS33:AU33)</f>
        <v>13273.548643954364</v>
      </c>
      <c r="AW33" s="513"/>
      <c r="AX33" s="430"/>
      <c r="AY33" s="430"/>
      <c r="BA33" s="430"/>
      <c r="BB33" s="389"/>
      <c r="BC33" s="389"/>
      <c r="BD33" s="389"/>
      <c r="BE33" s="389"/>
      <c r="BF33" s="389"/>
      <c r="BG33" s="389"/>
      <c r="BH33" s="430"/>
      <c r="BI33" s="389"/>
      <c r="BJ33" s="430"/>
      <c r="BK33" s="430"/>
    </row>
    <row r="34" spans="1:63" ht="15.75" customHeight="1">
      <c r="A34" s="960" t="s">
        <v>596</v>
      </c>
      <c r="C34" s="4" t="s">
        <v>208</v>
      </c>
      <c r="D34" s="4"/>
      <c r="E34" s="328">
        <f>'ROO INPUT'!$F35</f>
        <v>8931</v>
      </c>
      <c r="F34" s="458">
        <v>0</v>
      </c>
      <c r="G34" s="458">
        <v>0</v>
      </c>
      <c r="H34" s="458">
        <v>0</v>
      </c>
      <c r="I34" s="458">
        <v>0</v>
      </c>
      <c r="J34" s="660">
        <v>0</v>
      </c>
      <c r="K34" s="458">
        <v>0</v>
      </c>
      <c r="L34" s="458">
        <v>0</v>
      </c>
      <c r="M34" s="458">
        <v>0</v>
      </c>
      <c r="N34" s="458">
        <v>0</v>
      </c>
      <c r="O34" s="458">
        <v>0</v>
      </c>
      <c r="P34" s="458">
        <v>0</v>
      </c>
      <c r="Q34" s="458">
        <v>-6</v>
      </c>
      <c r="R34" s="458">
        <v>0</v>
      </c>
      <c r="S34" s="458">
        <v>0</v>
      </c>
      <c r="T34" s="458">
        <v>0</v>
      </c>
      <c r="U34" s="660">
        <v>0</v>
      </c>
      <c r="V34" s="660">
        <v>0</v>
      </c>
      <c r="W34" s="458">
        <v>0</v>
      </c>
      <c r="X34" s="388">
        <f>SUM(E34:W34)</f>
        <v>8925</v>
      </c>
      <c r="Y34" s="458">
        <v>0</v>
      </c>
      <c r="Z34" s="458">
        <v>0</v>
      </c>
      <c r="AA34" s="660">
        <v>0</v>
      </c>
      <c r="AB34" s="660">
        <v>0</v>
      </c>
      <c r="AC34" s="660">
        <v>0</v>
      </c>
      <c r="AD34" s="458">
        <v>0</v>
      </c>
      <c r="AE34" s="458">
        <v>0</v>
      </c>
      <c r="AF34" s="458">
        <v>0</v>
      </c>
      <c r="AG34" s="666">
        <f>126+37</f>
        <v>163</v>
      </c>
      <c r="AH34" s="666">
        <v>33</v>
      </c>
      <c r="AI34" s="458">
        <v>0</v>
      </c>
      <c r="AJ34" s="619"/>
      <c r="AK34" s="422">
        <f>SUM(X34:AJ34)</f>
        <v>9121</v>
      </c>
      <c r="AL34" s="389">
        <v>0</v>
      </c>
      <c r="AM34" s="389">
        <v>0</v>
      </c>
      <c r="AN34" s="389">
        <v>0</v>
      </c>
      <c r="AO34" s="458">
        <v>0</v>
      </c>
      <c r="AP34" s="458">
        <v>0</v>
      </c>
      <c r="AQ34" s="458">
        <v>0</v>
      </c>
      <c r="AR34" s="458">
        <v>0</v>
      </c>
      <c r="AS34" s="422">
        <f>SUM(AK34:AR34)</f>
        <v>9121</v>
      </c>
      <c r="AT34" s="575">
        <v>0</v>
      </c>
      <c r="AU34" s="575">
        <v>859.83333333333212</v>
      </c>
      <c r="AV34" s="853">
        <f>SUM(AS34:AU34)</f>
        <v>9980.8333333333321</v>
      </c>
      <c r="AW34" s="513"/>
      <c r="AX34" s="430"/>
      <c r="AY34" s="430"/>
      <c r="BA34" s="430"/>
      <c r="BB34" s="389"/>
      <c r="BC34" s="389"/>
      <c r="BD34" s="389"/>
      <c r="BE34" s="389"/>
      <c r="BF34" s="389"/>
      <c r="BG34" s="389"/>
      <c r="BH34" s="430"/>
      <c r="BI34" s="389"/>
      <c r="BJ34" s="430"/>
      <c r="BK34" s="430"/>
    </row>
    <row r="35" spans="1:63" ht="12" thickBot="1">
      <c r="A35" s="154">
        <v>15</v>
      </c>
      <c r="C35" s="4" t="s">
        <v>22</v>
      </c>
      <c r="D35" s="4"/>
      <c r="E35" s="283">
        <f>'ROO INPUT'!$F36</f>
        <v>14014</v>
      </c>
      <c r="F35" s="390">
        <v>0</v>
      </c>
      <c r="G35" s="390">
        <v>0</v>
      </c>
      <c r="H35" s="390">
        <v>0</v>
      </c>
      <c r="I35" s="390">
        <v>-5612</v>
      </c>
      <c r="J35" s="661">
        <v>-325</v>
      </c>
      <c r="K35" s="390">
        <v>0</v>
      </c>
      <c r="L35" s="390">
        <v>0</v>
      </c>
      <c r="M35" s="390">
        <v>0</v>
      </c>
      <c r="N35" s="390">
        <v>0</v>
      </c>
      <c r="O35" s="390">
        <v>0</v>
      </c>
      <c r="P35" s="390">
        <v>-5</v>
      </c>
      <c r="Q35" s="390">
        <v>0</v>
      </c>
      <c r="R35" s="390">
        <f>ROUND((R$14+R$15)*CF!$E$19,0)</f>
        <v>497</v>
      </c>
      <c r="S35" s="390">
        <f>ROUND((S$14+S$15)*CF!$E$19,0)</f>
        <v>-127</v>
      </c>
      <c r="T35" s="390">
        <v>0</v>
      </c>
      <c r="U35" s="661">
        <v>0</v>
      </c>
      <c r="V35" s="661">
        <v>0</v>
      </c>
      <c r="W35" s="390">
        <v>0</v>
      </c>
      <c r="X35" s="391">
        <f>SUM(E35:W35)</f>
        <v>8442</v>
      </c>
      <c r="Y35" s="390">
        <v>0</v>
      </c>
      <c r="Z35" s="390">
        <v>0</v>
      </c>
      <c r="AA35" s="661">
        <v>0</v>
      </c>
      <c r="AB35" s="661">
        <v>0</v>
      </c>
      <c r="AC35" s="661">
        <v>213</v>
      </c>
      <c r="AD35" s="390">
        <f>ROUND((AD$14+AD$15)*CF!$E$19,0)</f>
        <v>-2764</v>
      </c>
      <c r="AE35" s="390">
        <v>0</v>
      </c>
      <c r="AF35" s="390">
        <v>0</v>
      </c>
      <c r="AG35" s="661">
        <v>0</v>
      </c>
      <c r="AH35" s="661">
        <v>0</v>
      </c>
      <c r="AI35" s="390">
        <v>0</v>
      </c>
      <c r="AJ35" s="620"/>
      <c r="AK35" s="423">
        <f>SUM(X35:AJ35)</f>
        <v>5891</v>
      </c>
      <c r="AL35" s="390">
        <v>0</v>
      </c>
      <c r="AM35" s="390">
        <v>0</v>
      </c>
      <c r="AN35" s="390">
        <v>0</v>
      </c>
      <c r="AO35" s="390">
        <v>0</v>
      </c>
      <c r="AP35" s="390">
        <v>0</v>
      </c>
      <c r="AQ35" s="390">
        <v>0</v>
      </c>
      <c r="AR35" s="390">
        <v>0</v>
      </c>
      <c r="AS35" s="423">
        <f>SUM(AK35:AR35)</f>
        <v>5891</v>
      </c>
      <c r="AT35" s="576">
        <v>0</v>
      </c>
      <c r="AU35" s="576">
        <v>936.19779098385243</v>
      </c>
      <c r="AV35" s="854">
        <f>SUM(AS35:AU35)</f>
        <v>6827.1977909838524</v>
      </c>
      <c r="AW35" s="513"/>
      <c r="AX35" s="430"/>
      <c r="AY35" s="430"/>
      <c r="BA35" s="430"/>
      <c r="BB35" s="389"/>
      <c r="BC35" s="389"/>
      <c r="BD35" s="389"/>
      <c r="BE35" s="389"/>
      <c r="BF35" s="389"/>
      <c r="BG35" s="389"/>
      <c r="BH35" s="430"/>
      <c r="BI35" s="389"/>
      <c r="BJ35" s="430"/>
      <c r="BK35" s="430"/>
    </row>
    <row r="36" spans="1:63" ht="13" customHeight="1">
      <c r="A36" s="154">
        <v>16</v>
      </c>
      <c r="B36" s="4" t="s">
        <v>49</v>
      </c>
      <c r="C36" s="4"/>
      <c r="E36" s="281">
        <f t="shared" ref="E36:N36" si="47">SUM(E33:E35)</f>
        <v>34476</v>
      </c>
      <c r="F36" s="281">
        <f t="shared" si="47"/>
        <v>0</v>
      </c>
      <c r="G36" s="281">
        <f t="shared" si="47"/>
        <v>0</v>
      </c>
      <c r="H36" s="281">
        <f t="shared" si="47"/>
        <v>0</v>
      </c>
      <c r="I36" s="281">
        <f t="shared" si="47"/>
        <v>-5612</v>
      </c>
      <c r="J36" s="215">
        <f>SUM(J33:J35)</f>
        <v>-325</v>
      </c>
      <c r="K36" s="281">
        <f t="shared" si="47"/>
        <v>0</v>
      </c>
      <c r="L36" s="281">
        <f t="shared" si="47"/>
        <v>0</v>
      </c>
      <c r="M36" s="281">
        <f t="shared" si="47"/>
        <v>0</v>
      </c>
      <c r="N36" s="281">
        <f t="shared" si="47"/>
        <v>0</v>
      </c>
      <c r="O36" s="281">
        <f t="shared" ref="O36:P36" si="48">SUM(O33:O35)</f>
        <v>0</v>
      </c>
      <c r="P36" s="281">
        <f t="shared" si="48"/>
        <v>-5</v>
      </c>
      <c r="Q36" s="281">
        <f>SUM(Q33:Q35)</f>
        <v>-6</v>
      </c>
      <c r="R36" s="281">
        <f>SUM(R33:R35)</f>
        <v>497</v>
      </c>
      <c r="S36" s="281">
        <f>SUM(S33:S35)</f>
        <v>-127</v>
      </c>
      <c r="T36" s="281">
        <f>SUM(T33:T35)</f>
        <v>0</v>
      </c>
      <c r="U36" s="215">
        <f t="shared" ref="U36" si="49">SUM(U33:U35)</f>
        <v>0</v>
      </c>
      <c r="V36" s="215">
        <f>SUM(V33:V35)</f>
        <v>60</v>
      </c>
      <c r="W36" s="281">
        <f>SUM(W33:W35)</f>
        <v>0</v>
      </c>
      <c r="X36" s="388">
        <f>SUM(X33:X35)</f>
        <v>28958</v>
      </c>
      <c r="Y36" s="281">
        <f>SUM(Y33:Y35)</f>
        <v>284</v>
      </c>
      <c r="Z36" s="281">
        <f>SUM(Z33:Z35)</f>
        <v>0</v>
      </c>
      <c r="AA36" s="215">
        <f t="shared" ref="AA36:AL36" si="50">SUM(AA33:AA35)</f>
        <v>178</v>
      </c>
      <c r="AB36" s="215">
        <f>SUM(AB33:AB35)</f>
        <v>0</v>
      </c>
      <c r="AC36" s="215">
        <f t="shared" si="50"/>
        <v>213</v>
      </c>
      <c r="AD36" s="281">
        <f>SUM(AD33:AD35)</f>
        <v>-2764</v>
      </c>
      <c r="AE36" s="328">
        <f t="shared" ref="AE36" si="51">SUM(AE33:AE35)</f>
        <v>236</v>
      </c>
      <c r="AF36" s="328">
        <f>SUM(AF33:AF35)</f>
        <v>0</v>
      </c>
      <c r="AG36" s="744">
        <f>SUM(AG33:AG35)</f>
        <v>163</v>
      </c>
      <c r="AH36" s="744">
        <f>SUM(AH33:AH35)</f>
        <v>33</v>
      </c>
      <c r="AI36" s="281">
        <f>SUM(AI33:AI35)</f>
        <v>0</v>
      </c>
      <c r="AJ36" s="621"/>
      <c r="AK36" s="422">
        <f t="shared" si="50"/>
        <v>27301</v>
      </c>
      <c r="AL36" s="536">
        <f t="shared" si="50"/>
        <v>0</v>
      </c>
      <c r="AM36" s="536">
        <f t="shared" ref="AM36:AS36" si="52">SUM(AM33:AM35)</f>
        <v>0</v>
      </c>
      <c r="AN36" s="536">
        <f>SUM(AN33:AN35)</f>
        <v>0</v>
      </c>
      <c r="AO36" s="281">
        <f t="shared" si="52"/>
        <v>0</v>
      </c>
      <c r="AP36" s="281">
        <f>SUM(AP33:AP35)</f>
        <v>0</v>
      </c>
      <c r="AQ36" s="281">
        <f>SUM(AQ33:AQ35)</f>
        <v>0</v>
      </c>
      <c r="AR36" s="281">
        <f t="shared" ref="AR36" si="53">SUM(AR33:AR35)</f>
        <v>0</v>
      </c>
      <c r="AS36" s="422">
        <f t="shared" si="52"/>
        <v>27301</v>
      </c>
      <c r="AT36" s="577">
        <f t="shared" ref="AT36:AU36" si="54">SUM(AT33:AT35)</f>
        <v>0</v>
      </c>
      <c r="AU36" s="577">
        <f t="shared" si="54"/>
        <v>2780.5797682715483</v>
      </c>
      <c r="AV36" s="853">
        <f t="shared" ref="AV36" si="55">SUM(AV33:AV35)</f>
        <v>30081.579768271549</v>
      </c>
      <c r="AW36" s="513"/>
      <c r="AX36" s="430"/>
      <c r="AY36" s="430"/>
      <c r="BA36" s="430"/>
      <c r="BB36" s="536"/>
      <c r="BC36" s="536"/>
      <c r="BD36" s="536"/>
      <c r="BE36" s="536"/>
      <c r="BF36" s="536"/>
      <c r="BG36" s="536"/>
      <c r="BH36" s="430"/>
      <c r="BI36" s="536"/>
      <c r="BJ36" s="430"/>
      <c r="BK36" s="430"/>
    </row>
    <row r="37" spans="1:63" ht="13" customHeight="1">
      <c r="C37" s="4"/>
      <c r="D37" s="4"/>
      <c r="E37" s="281"/>
      <c r="F37" s="281"/>
      <c r="G37" s="281"/>
      <c r="H37" s="281"/>
      <c r="I37" s="281"/>
      <c r="J37" s="215"/>
      <c r="K37" s="281"/>
      <c r="L37" s="281"/>
      <c r="M37" s="281"/>
      <c r="N37" s="281"/>
      <c r="O37" s="281"/>
      <c r="P37" s="281"/>
      <c r="Q37" s="281"/>
      <c r="R37" s="281"/>
      <c r="S37" s="281"/>
      <c r="T37" s="281"/>
      <c r="U37" s="215"/>
      <c r="V37" s="215"/>
      <c r="W37" s="281"/>
      <c r="X37" s="388"/>
      <c r="Y37" s="281"/>
      <c r="Z37" s="281"/>
      <c r="AA37" s="215"/>
      <c r="AB37" s="215"/>
      <c r="AC37" s="215"/>
      <c r="AD37" s="281"/>
      <c r="AE37" s="328"/>
      <c r="AF37" s="328"/>
      <c r="AG37" s="744"/>
      <c r="AH37" s="744"/>
      <c r="AI37" s="281"/>
      <c r="AJ37" s="621"/>
      <c r="AK37" s="422"/>
      <c r="AL37" s="536"/>
      <c r="AM37" s="536"/>
      <c r="AN37" s="536"/>
      <c r="AO37" s="281"/>
      <c r="AP37" s="281"/>
      <c r="AQ37" s="281"/>
      <c r="AR37" s="281"/>
      <c r="AS37" s="422"/>
      <c r="AT37" s="577"/>
      <c r="AU37" s="577"/>
      <c r="AV37" s="853"/>
      <c r="AW37" s="513"/>
      <c r="AX37" s="430"/>
      <c r="AY37" s="430"/>
      <c r="BA37" s="430"/>
      <c r="BB37" s="536"/>
      <c r="BC37" s="536"/>
      <c r="BD37" s="536"/>
      <c r="BE37" s="536"/>
      <c r="BF37" s="536"/>
      <c r="BG37" s="536"/>
      <c r="BH37" s="430"/>
      <c r="BI37" s="536"/>
      <c r="BJ37" s="430"/>
      <c r="BK37" s="430"/>
    </row>
    <row r="38" spans="1:63" ht="13" customHeight="1">
      <c r="A38" s="154">
        <v>17</v>
      </c>
      <c r="B38" s="1" t="s">
        <v>50</v>
      </c>
      <c r="C38" s="4"/>
      <c r="D38" s="4"/>
      <c r="E38" s="281">
        <f>'ROO INPUT'!$F39</f>
        <v>6595</v>
      </c>
      <c r="F38" s="389">
        <v>0</v>
      </c>
      <c r="G38" s="389">
        <v>1</v>
      </c>
      <c r="H38" s="389">
        <v>0</v>
      </c>
      <c r="I38" s="389">
        <v>0</v>
      </c>
      <c r="J38" s="666"/>
      <c r="K38" s="389">
        <v>-313</v>
      </c>
      <c r="L38" s="389">
        <v>0</v>
      </c>
      <c r="M38" s="389">
        <v>0</v>
      </c>
      <c r="N38" s="389">
        <v>0</v>
      </c>
      <c r="O38" s="389">
        <v>0</v>
      </c>
      <c r="P38" s="389">
        <v>0</v>
      </c>
      <c r="Q38" s="389">
        <v>0</v>
      </c>
      <c r="R38" s="458">
        <f>ROUND((R$14+R$15)*CF!$E$15,0)</f>
        <v>76</v>
      </c>
      <c r="S38" s="458">
        <f>ROUND((S$14+S$15)*CF!$E$15,0)</f>
        <v>-19</v>
      </c>
      <c r="T38" s="458">
        <v>0</v>
      </c>
      <c r="U38" s="660">
        <v>0</v>
      </c>
      <c r="V38" s="215">
        <v>31</v>
      </c>
      <c r="W38" s="281">
        <v>0</v>
      </c>
      <c r="X38" s="388">
        <f>SUM(E38:W38)</f>
        <v>6371</v>
      </c>
      <c r="Y38" s="281">
        <v>151</v>
      </c>
      <c r="Z38" s="281">
        <v>0</v>
      </c>
      <c r="AA38" s="215">
        <v>93</v>
      </c>
      <c r="AB38" s="215"/>
      <c r="AC38" s="660"/>
      <c r="AD38" s="458">
        <f>ROUND((AD$14+AD$15)*CF!$E$15,0)</f>
        <v>-423</v>
      </c>
      <c r="AE38" s="389">
        <v>0</v>
      </c>
      <c r="AF38" s="389">
        <v>0</v>
      </c>
      <c r="AG38" s="666">
        <v>0</v>
      </c>
      <c r="AH38" s="666">
        <v>0</v>
      </c>
      <c r="AI38" s="458">
        <v>0</v>
      </c>
      <c r="AJ38" s="619"/>
      <c r="AK38" s="422">
        <f>SUM(X38:AJ38)</f>
        <v>6192</v>
      </c>
      <c r="AL38" s="389">
        <v>0</v>
      </c>
      <c r="AM38" s="389">
        <v>0</v>
      </c>
      <c r="AN38" s="389">
        <v>0</v>
      </c>
      <c r="AO38" s="458"/>
      <c r="AP38" s="281"/>
      <c r="AQ38" s="281"/>
      <c r="AR38" s="458"/>
      <c r="AS38" s="422">
        <f>SUM(AK38:AR38)</f>
        <v>6192</v>
      </c>
      <c r="AT38" s="575">
        <v>0</v>
      </c>
      <c r="AU38" s="575">
        <v>493.88182336349746</v>
      </c>
      <c r="AV38" s="853">
        <f>SUM(AS38:AU38)</f>
        <v>6685.8818233634975</v>
      </c>
      <c r="AW38" s="513"/>
      <c r="AX38" s="430"/>
      <c r="AY38" s="430"/>
      <c r="BA38" s="430"/>
      <c r="BB38" s="536"/>
      <c r="BC38" s="389"/>
      <c r="BD38" s="536"/>
      <c r="BE38" s="536"/>
      <c r="BF38" s="389"/>
      <c r="BG38" s="389"/>
      <c r="BH38" s="430"/>
      <c r="BI38" s="389"/>
      <c r="BJ38" s="430"/>
      <c r="BK38" s="430"/>
    </row>
    <row r="39" spans="1:63">
      <c r="A39" s="154">
        <v>18</v>
      </c>
      <c r="B39" s="1" t="s">
        <v>51</v>
      </c>
      <c r="C39" s="4"/>
      <c r="D39" s="4"/>
      <c r="E39" s="281">
        <f>'ROO INPUT'!$F40</f>
        <v>5790</v>
      </c>
      <c r="F39" s="458">
        <v>0</v>
      </c>
      <c r="G39" s="458">
        <v>0</v>
      </c>
      <c r="H39" s="458">
        <v>0</v>
      </c>
      <c r="I39" s="458">
        <v>0</v>
      </c>
      <c r="J39" s="660">
        <v>0</v>
      </c>
      <c r="K39" s="458">
        <v>0</v>
      </c>
      <c r="L39" s="458">
        <v>0</v>
      </c>
      <c r="M39" s="458">
        <v>0</v>
      </c>
      <c r="N39" s="458">
        <v>0</v>
      </c>
      <c r="O39" s="458">
        <v>0</v>
      </c>
      <c r="P39" s="458">
        <v>0</v>
      </c>
      <c r="Q39" s="458">
        <v>0</v>
      </c>
      <c r="R39" s="458">
        <v>0</v>
      </c>
      <c r="S39" s="458">
        <v>-4914</v>
      </c>
      <c r="T39" s="458">
        <v>0</v>
      </c>
      <c r="U39" s="660">
        <v>0</v>
      </c>
      <c r="V39" s="660">
        <v>2</v>
      </c>
      <c r="W39" s="458">
        <v>0</v>
      </c>
      <c r="X39" s="388">
        <f>SUM(E39:W39)</f>
        <v>878</v>
      </c>
      <c r="Y39" s="458">
        <v>12</v>
      </c>
      <c r="Z39" s="458">
        <v>0</v>
      </c>
      <c r="AA39" s="660">
        <v>7</v>
      </c>
      <c r="AB39" s="660">
        <v>0</v>
      </c>
      <c r="AC39" s="660">
        <v>0</v>
      </c>
      <c r="AD39" s="458">
        <v>0</v>
      </c>
      <c r="AE39" s="458">
        <v>0</v>
      </c>
      <c r="AF39" s="458">
        <v>0</v>
      </c>
      <c r="AG39" s="666">
        <v>0</v>
      </c>
      <c r="AH39" s="666">
        <v>0</v>
      </c>
      <c r="AI39" s="458">
        <v>0</v>
      </c>
      <c r="AJ39" s="619"/>
      <c r="AK39" s="422">
        <f>SUM(X39:AJ39)</f>
        <v>897</v>
      </c>
      <c r="AL39" s="389">
        <v>0</v>
      </c>
      <c r="AM39" s="389">
        <v>0</v>
      </c>
      <c r="AN39" s="389">
        <v>0</v>
      </c>
      <c r="AO39" s="458">
        <v>0</v>
      </c>
      <c r="AP39" s="458">
        <v>0</v>
      </c>
      <c r="AQ39" s="458">
        <v>0</v>
      </c>
      <c r="AR39" s="458">
        <v>0</v>
      </c>
      <c r="AS39" s="422">
        <f>SUM(AK39:AR39)</f>
        <v>897</v>
      </c>
      <c r="AT39" s="575">
        <v>0</v>
      </c>
      <c r="AU39" s="575">
        <v>5.1486167267399878</v>
      </c>
      <c r="AV39" s="853">
        <f>SUM(AS39:AU39)</f>
        <v>902.14861672673999</v>
      </c>
      <c r="AW39" s="513"/>
      <c r="AX39" s="430"/>
      <c r="AY39" s="430"/>
      <c r="BA39" s="430"/>
      <c r="BB39" s="536"/>
      <c r="BC39" s="389"/>
      <c r="BD39" s="389"/>
      <c r="BE39" s="389"/>
      <c r="BF39" s="389"/>
      <c r="BG39" s="389"/>
      <c r="BH39" s="430"/>
      <c r="BI39" s="389"/>
      <c r="BJ39" s="430"/>
      <c r="BK39" s="430"/>
    </row>
    <row r="40" spans="1:63">
      <c r="A40" s="154">
        <v>19</v>
      </c>
      <c r="B40" s="1" t="s">
        <v>52</v>
      </c>
      <c r="C40" s="4"/>
      <c r="D40" s="4"/>
      <c r="E40" s="281">
        <f>'ROO INPUT'!$F41</f>
        <v>0</v>
      </c>
      <c r="F40" s="458">
        <v>0</v>
      </c>
      <c r="G40" s="458">
        <v>0</v>
      </c>
      <c r="H40" s="458">
        <v>0</v>
      </c>
      <c r="I40" s="458">
        <v>0</v>
      </c>
      <c r="J40" s="660">
        <v>0</v>
      </c>
      <c r="K40" s="458">
        <v>0</v>
      </c>
      <c r="L40" s="458">
        <v>0</v>
      </c>
      <c r="M40" s="458">
        <v>0</v>
      </c>
      <c r="N40" s="458">
        <v>0</v>
      </c>
      <c r="O40" s="458">
        <v>0</v>
      </c>
      <c r="P40" s="458">
        <v>0</v>
      </c>
      <c r="Q40" s="458">
        <v>0</v>
      </c>
      <c r="R40" s="458">
        <v>0</v>
      </c>
      <c r="S40" s="458">
        <v>0</v>
      </c>
      <c r="T40" s="458">
        <v>0</v>
      </c>
      <c r="U40" s="660">
        <v>0</v>
      </c>
      <c r="V40" s="660">
        <v>0</v>
      </c>
      <c r="W40" s="458">
        <v>0</v>
      </c>
      <c r="X40" s="388">
        <f>SUM(E40:W40)</f>
        <v>0</v>
      </c>
      <c r="Y40" s="458">
        <f>130/1000</f>
        <v>0.13</v>
      </c>
      <c r="Z40" s="458">
        <v>0</v>
      </c>
      <c r="AA40" s="660">
        <v>0</v>
      </c>
      <c r="AB40" s="660">
        <v>0</v>
      </c>
      <c r="AC40" s="660">
        <v>0</v>
      </c>
      <c r="AD40" s="458">
        <v>0</v>
      </c>
      <c r="AE40" s="458">
        <v>0</v>
      </c>
      <c r="AF40" s="458">
        <v>0</v>
      </c>
      <c r="AG40" s="666">
        <v>0</v>
      </c>
      <c r="AH40" s="666">
        <v>0</v>
      </c>
      <c r="AI40" s="458">
        <v>0</v>
      </c>
      <c r="AJ40" s="619"/>
      <c r="AK40" s="422">
        <f>SUM(X40:AJ40)</f>
        <v>0.13</v>
      </c>
      <c r="AL40" s="389">
        <v>0</v>
      </c>
      <c r="AM40" s="389">
        <v>0</v>
      </c>
      <c r="AN40" s="389">
        <v>0</v>
      </c>
      <c r="AO40" s="458">
        <v>0</v>
      </c>
      <c r="AP40" s="458">
        <v>0</v>
      </c>
      <c r="AQ40" s="458">
        <v>0</v>
      </c>
      <c r="AR40" s="458">
        <v>0</v>
      </c>
      <c r="AS40" s="422">
        <f>SUM(AK40:AR40)</f>
        <v>0.13</v>
      </c>
      <c r="AT40" s="575">
        <v>0</v>
      </c>
      <c r="AU40" s="575">
        <v>-0.13</v>
      </c>
      <c r="AV40" s="853">
        <f>SUM(AS40:AU40)</f>
        <v>0</v>
      </c>
      <c r="AW40" s="513"/>
      <c r="AX40" s="430"/>
      <c r="AY40" s="430"/>
      <c r="BA40" s="430"/>
      <c r="BB40" s="389"/>
      <c r="BC40" s="389"/>
      <c r="BD40" s="389"/>
      <c r="BE40" s="389"/>
      <c r="BF40" s="389"/>
      <c r="BG40" s="389"/>
      <c r="BH40" s="430"/>
      <c r="BI40" s="389"/>
      <c r="BJ40" s="430"/>
      <c r="BK40" s="430"/>
    </row>
    <row r="41" spans="1:63">
      <c r="C41" s="4"/>
      <c r="D41" s="4"/>
      <c r="E41" s="281"/>
      <c r="F41" s="458"/>
      <c r="G41" s="458"/>
      <c r="H41" s="458"/>
      <c r="I41" s="458"/>
      <c r="J41" s="660"/>
      <c r="K41" s="458"/>
      <c r="L41" s="458"/>
      <c r="M41" s="458"/>
      <c r="N41" s="458"/>
      <c r="O41" s="458"/>
      <c r="P41" s="458"/>
      <c r="Q41" s="458"/>
      <c r="R41" s="458"/>
      <c r="S41" s="458"/>
      <c r="T41" s="458"/>
      <c r="U41" s="660"/>
      <c r="V41" s="660"/>
      <c r="W41" s="458"/>
      <c r="X41" s="388"/>
      <c r="Y41" s="458"/>
      <c r="Z41" s="458"/>
      <c r="AA41" s="660"/>
      <c r="AB41" s="660"/>
      <c r="AC41" s="660"/>
      <c r="AD41" s="458"/>
      <c r="AE41" s="458"/>
      <c r="AF41" s="458"/>
      <c r="AG41" s="666"/>
      <c r="AH41" s="666"/>
      <c r="AI41" s="458"/>
      <c r="AJ41" s="619"/>
      <c r="AK41" s="422"/>
      <c r="AL41" s="389"/>
      <c r="AM41" s="389"/>
      <c r="AN41" s="389"/>
      <c r="AO41" s="458"/>
      <c r="AP41" s="458"/>
      <c r="AQ41" s="458"/>
      <c r="AR41" s="458"/>
      <c r="AS41" s="422"/>
      <c r="AT41" s="575"/>
      <c r="AU41" s="575"/>
      <c r="AV41" s="855"/>
      <c r="AW41" s="513"/>
      <c r="AX41" s="430"/>
      <c r="AY41" s="430"/>
      <c r="BA41" s="430"/>
      <c r="BB41" s="389"/>
      <c r="BC41" s="389"/>
      <c r="BD41" s="389"/>
      <c r="BE41" s="389"/>
      <c r="BF41" s="389"/>
      <c r="BG41" s="389"/>
      <c r="BH41" s="430"/>
      <c r="BI41" s="389"/>
      <c r="BJ41" s="430"/>
      <c r="BK41" s="430"/>
    </row>
    <row r="42" spans="1:63">
      <c r="B42" s="1" t="s">
        <v>53</v>
      </c>
      <c r="C42" s="4"/>
      <c r="D42" s="4"/>
      <c r="E42" s="281"/>
      <c r="F42" s="458"/>
      <c r="G42" s="458"/>
      <c r="H42" s="458"/>
      <c r="I42" s="458"/>
      <c r="J42" s="660"/>
      <c r="K42" s="458"/>
      <c r="L42" s="458"/>
      <c r="M42" s="458"/>
      <c r="N42" s="458"/>
      <c r="O42" s="458"/>
      <c r="P42" s="458"/>
      <c r="Q42" s="458"/>
      <c r="R42" s="458"/>
      <c r="S42" s="458"/>
      <c r="T42" s="458"/>
      <c r="U42" s="660"/>
      <c r="V42" s="660"/>
      <c r="W42" s="458"/>
      <c r="X42" s="388">
        <f>SUM(E42:W42)</f>
        <v>0</v>
      </c>
      <c r="Y42" s="458"/>
      <c r="Z42" s="458"/>
      <c r="AA42" s="660"/>
      <c r="AB42" s="660"/>
      <c r="AC42" s="660"/>
      <c r="AD42" s="458"/>
      <c r="AE42" s="458"/>
      <c r="AF42" s="458"/>
      <c r="AG42" s="666"/>
      <c r="AH42" s="666"/>
      <c r="AI42" s="458"/>
      <c r="AJ42" s="619"/>
      <c r="AK42" s="422"/>
      <c r="AL42" s="389"/>
      <c r="AM42" s="389"/>
      <c r="AN42" s="389"/>
      <c r="AO42" s="458"/>
      <c r="AP42" s="458"/>
      <c r="AQ42" s="458"/>
      <c r="AR42" s="458"/>
      <c r="AS42" s="422"/>
      <c r="AT42" s="575"/>
      <c r="AU42" s="575"/>
      <c r="AV42" s="855"/>
      <c r="AW42" s="513"/>
      <c r="AX42" s="430"/>
      <c r="AY42" s="430"/>
      <c r="BA42" s="430"/>
      <c r="BB42" s="389"/>
      <c r="BC42" s="389"/>
      <c r="BD42" s="389"/>
      <c r="BE42" s="389"/>
      <c r="BF42" s="389"/>
      <c r="BG42" s="389"/>
      <c r="BH42" s="430"/>
      <c r="BI42" s="389"/>
      <c r="BJ42" s="430"/>
      <c r="BK42" s="430"/>
    </row>
    <row r="43" spans="1:63">
      <c r="A43" s="154">
        <v>20</v>
      </c>
      <c r="C43" s="4" t="s">
        <v>45</v>
      </c>
      <c r="D43" s="4"/>
      <c r="E43" s="281">
        <f>'ROO INPUT'!$F44</f>
        <v>13388</v>
      </c>
      <c r="F43" s="458">
        <v>0</v>
      </c>
      <c r="G43" s="458">
        <v>0</v>
      </c>
      <c r="H43" s="458">
        <v>0</v>
      </c>
      <c r="I43" s="458">
        <v>0</v>
      </c>
      <c r="J43" s="660">
        <v>0</v>
      </c>
      <c r="K43" s="458">
        <v>0</v>
      </c>
      <c r="L43" s="458">
        <v>-12</v>
      </c>
      <c r="M43" s="458">
        <v>231</v>
      </c>
      <c r="N43" s="458">
        <v>0</v>
      </c>
      <c r="O43" s="458">
        <v>-9</v>
      </c>
      <c r="P43" s="458">
        <v>0</v>
      </c>
      <c r="Q43" s="458">
        <v>0</v>
      </c>
      <c r="R43" s="458">
        <f>ROUND((R$14+R$15)*CF!$E$17,0)</f>
        <v>26</v>
      </c>
      <c r="S43" s="458">
        <f>ROUND((S$14+S$15)*CF!$E$17,0)</f>
        <v>-7</v>
      </c>
      <c r="T43" s="458">
        <v>-222</v>
      </c>
      <c r="U43" s="660">
        <v>0</v>
      </c>
      <c r="V43" s="660">
        <v>36</v>
      </c>
      <c r="W43" s="458">
        <v>0</v>
      </c>
      <c r="X43" s="388">
        <f>SUM(E43:W43)</f>
        <v>13431</v>
      </c>
      <c r="Y43" s="458">
        <v>176</v>
      </c>
      <c r="Z43" s="458">
        <v>12</v>
      </c>
      <c r="AA43" s="660">
        <v>108</v>
      </c>
      <c r="AB43" s="660">
        <v>0</v>
      </c>
      <c r="AC43" s="660">
        <v>0</v>
      </c>
      <c r="AD43" s="458">
        <f>ROUND((AD$14+AD$15)*CF!$E$17,0)</f>
        <v>-144</v>
      </c>
      <c r="AE43" s="458">
        <v>0</v>
      </c>
      <c r="AF43" s="458">
        <v>0</v>
      </c>
      <c r="AG43" s="666">
        <v>0</v>
      </c>
      <c r="AH43" s="666">
        <v>0</v>
      </c>
      <c r="AI43" s="458">
        <v>-34</v>
      </c>
      <c r="AJ43" s="619"/>
      <c r="AK43" s="422">
        <f>SUM(X43:AJ43)</f>
        <v>13549</v>
      </c>
      <c r="AL43" s="389">
        <v>0</v>
      </c>
      <c r="AM43" s="389">
        <v>0</v>
      </c>
      <c r="AN43" s="389">
        <v>0</v>
      </c>
      <c r="AO43" s="458">
        <v>0</v>
      </c>
      <c r="AP43" s="458">
        <v>0</v>
      </c>
      <c r="AQ43" s="458">
        <v>0</v>
      </c>
      <c r="AR43" s="458">
        <v>0</v>
      </c>
      <c r="AS43" s="422">
        <f>SUM(AK43:AR43)</f>
        <v>13549</v>
      </c>
      <c r="AT43" s="575">
        <v>0</v>
      </c>
      <c r="AU43" s="575">
        <v>1217.617805622649</v>
      </c>
      <c r="AV43" s="853">
        <f>SUM(AS43:AU43)</f>
        <v>14766.617805622649</v>
      </c>
      <c r="AW43" s="513"/>
      <c r="AX43" s="430"/>
      <c r="AY43" s="430"/>
      <c r="BA43" s="430"/>
      <c r="BB43" s="536"/>
      <c r="BC43" s="389"/>
      <c r="BD43" s="389"/>
      <c r="BE43" s="389"/>
      <c r="BF43" s="389"/>
      <c r="BG43" s="389"/>
      <c r="BH43" s="430"/>
      <c r="BI43" s="389"/>
      <c r="BJ43" s="430"/>
      <c r="BK43" s="430"/>
    </row>
    <row r="44" spans="1:63">
      <c r="A44" s="154">
        <v>21</v>
      </c>
      <c r="C44" s="4" t="s">
        <v>208</v>
      </c>
      <c r="D44" s="4"/>
      <c r="E44" s="281">
        <f>'ROO INPUT'!$F45</f>
        <v>5206</v>
      </c>
      <c r="F44" s="458">
        <v>0</v>
      </c>
      <c r="G44" s="458">
        <v>0</v>
      </c>
      <c r="H44" s="458">
        <v>0</v>
      </c>
      <c r="I44" s="458">
        <v>0</v>
      </c>
      <c r="J44" s="660">
        <v>0</v>
      </c>
      <c r="K44" s="458">
        <v>0</v>
      </c>
      <c r="L44" s="458">
        <v>0</v>
      </c>
      <c r="M44" s="458">
        <v>0</v>
      </c>
      <c r="N44" s="458">
        <v>0</v>
      </c>
      <c r="O44" s="458">
        <v>0</v>
      </c>
      <c r="P44" s="458">
        <v>0</v>
      </c>
      <c r="Q44" s="458">
        <v>0</v>
      </c>
      <c r="R44" s="458"/>
      <c r="S44" s="458"/>
      <c r="T44" s="458">
        <v>0</v>
      </c>
      <c r="U44" s="660">
        <v>0</v>
      </c>
      <c r="V44" s="660"/>
      <c r="W44" s="458">
        <v>0</v>
      </c>
      <c r="X44" s="388">
        <f>SUM(E44:W44)</f>
        <v>5206</v>
      </c>
      <c r="Y44" s="458">
        <v>0</v>
      </c>
      <c r="Z44" s="458">
        <v>0</v>
      </c>
      <c r="AA44" s="660">
        <v>0</v>
      </c>
      <c r="AB44" s="660">
        <v>0</v>
      </c>
      <c r="AC44" s="660">
        <v>0</v>
      </c>
      <c r="AD44" s="458">
        <v>0</v>
      </c>
      <c r="AE44" s="458">
        <v>0</v>
      </c>
      <c r="AF44" s="458">
        <v>0</v>
      </c>
      <c r="AG44" s="666">
        <f>671-219-9</f>
        <v>443</v>
      </c>
      <c r="AH44" s="666">
        <f>30+9</f>
        <v>39</v>
      </c>
      <c r="AI44" s="458">
        <v>0</v>
      </c>
      <c r="AJ44" s="619"/>
      <c r="AK44" s="422">
        <f>SUM(X44:AJ44)</f>
        <v>5688</v>
      </c>
      <c r="AL44" s="389">
        <v>0</v>
      </c>
      <c r="AM44" s="389">
        <v>0</v>
      </c>
      <c r="AN44" s="389">
        <v>0</v>
      </c>
      <c r="AO44" s="458">
        <v>0</v>
      </c>
      <c r="AP44" s="458">
        <v>0</v>
      </c>
      <c r="AQ44" s="458">
        <v>0</v>
      </c>
      <c r="AR44" s="458">
        <v>0</v>
      </c>
      <c r="AS44" s="422">
        <f>SUM(AK44:AR44)</f>
        <v>5688</v>
      </c>
      <c r="AT44" s="575">
        <v>0</v>
      </c>
      <c r="AU44" s="575">
        <v>926.46666666666624</v>
      </c>
      <c r="AV44" s="853">
        <f>SUM(AS44:AU44)</f>
        <v>6614.4666666666662</v>
      </c>
      <c r="AW44" s="513"/>
      <c r="AX44" s="430"/>
      <c r="AY44" s="430"/>
      <c r="BA44" s="430"/>
      <c r="BB44" s="389"/>
      <c r="BC44" s="389"/>
      <c r="BD44" s="389"/>
      <c r="BE44" s="389"/>
      <c r="BF44" s="389"/>
      <c r="BG44" s="389"/>
      <c r="BH44" s="430"/>
      <c r="BI44" s="389"/>
      <c r="BJ44" s="430"/>
      <c r="BK44" s="430"/>
    </row>
    <row r="45" spans="1:63">
      <c r="A45" s="154">
        <v>22</v>
      </c>
      <c r="C45" s="437" t="s">
        <v>425</v>
      </c>
      <c r="D45" s="4"/>
      <c r="E45" s="281">
        <f>'ROO INPUT'!$F46</f>
        <v>0</v>
      </c>
      <c r="F45" s="458"/>
      <c r="G45" s="458"/>
      <c r="H45" s="458"/>
      <c r="I45" s="458"/>
      <c r="J45" s="660"/>
      <c r="K45" s="458"/>
      <c r="L45" s="458"/>
      <c r="M45" s="458"/>
      <c r="N45" s="458"/>
      <c r="O45" s="458"/>
      <c r="P45" s="458"/>
      <c r="Q45" s="458"/>
      <c r="R45" s="458">
        <v>0</v>
      </c>
      <c r="S45" s="458">
        <v>0</v>
      </c>
      <c r="T45" s="458">
        <v>0</v>
      </c>
      <c r="U45" s="660">
        <v>0</v>
      </c>
      <c r="V45" s="660">
        <v>0</v>
      </c>
      <c r="W45" s="458">
        <v>-1505</v>
      </c>
      <c r="X45" s="388">
        <f>SUM(E45:W45)</f>
        <v>-1505</v>
      </c>
      <c r="Y45" s="458"/>
      <c r="Z45" s="458"/>
      <c r="AA45" s="660"/>
      <c r="AB45" s="660"/>
      <c r="AC45" s="660"/>
      <c r="AD45" s="458">
        <v>0</v>
      </c>
      <c r="AE45" s="458"/>
      <c r="AF45" s="458">
        <v>2584</v>
      </c>
      <c r="AG45" s="666"/>
      <c r="AH45" s="666"/>
      <c r="AI45" s="458"/>
      <c r="AJ45" s="619"/>
      <c r="AK45" s="422">
        <f>SUM(X45:AJ45)</f>
        <v>1079</v>
      </c>
      <c r="AL45" s="389"/>
      <c r="AM45" s="389"/>
      <c r="AN45" s="389"/>
      <c r="AO45" s="458"/>
      <c r="AP45" s="458"/>
      <c r="AQ45" s="458"/>
      <c r="AR45" s="458"/>
      <c r="AS45" s="422">
        <f>SUM(AK45:AR45)</f>
        <v>1079</v>
      </c>
      <c r="AT45" s="575"/>
      <c r="AU45" s="575">
        <v>-270</v>
      </c>
      <c r="AV45" s="853">
        <f>SUM(AS45:AU45)</f>
        <v>809</v>
      </c>
      <c r="AW45" s="513"/>
      <c r="AX45" s="430"/>
      <c r="AY45" s="430"/>
      <c r="BA45" s="430"/>
      <c r="BB45" s="389"/>
      <c r="BC45" s="389"/>
      <c r="BD45" s="389"/>
      <c r="BE45" s="389"/>
      <c r="BF45" s="389"/>
      <c r="BG45" s="389"/>
      <c r="BH45" s="430"/>
      <c r="BI45" s="389"/>
      <c r="BJ45" s="430"/>
      <c r="BK45" s="430"/>
    </row>
    <row r="46" spans="1:63">
      <c r="A46" s="154">
        <v>23</v>
      </c>
      <c r="C46" s="4" t="s">
        <v>22</v>
      </c>
      <c r="D46" s="4"/>
      <c r="E46" s="283">
        <f>'ROO INPUT'!$F47</f>
        <v>0</v>
      </c>
      <c r="F46" s="390">
        <v>0</v>
      </c>
      <c r="G46" s="390">
        <v>0</v>
      </c>
      <c r="H46" s="390">
        <v>0</v>
      </c>
      <c r="I46" s="390">
        <v>0</v>
      </c>
      <c r="J46" s="661">
        <v>0</v>
      </c>
      <c r="K46" s="390">
        <v>0</v>
      </c>
      <c r="L46" s="390">
        <v>0</v>
      </c>
      <c r="M46" s="390">
        <v>0</v>
      </c>
      <c r="N46" s="390">
        <v>0</v>
      </c>
      <c r="O46" s="390">
        <v>0</v>
      </c>
      <c r="P46" s="390">
        <v>0</v>
      </c>
      <c r="Q46" s="390">
        <v>0</v>
      </c>
      <c r="R46" s="390">
        <v>0</v>
      </c>
      <c r="S46" s="390">
        <v>0</v>
      </c>
      <c r="T46" s="390">
        <v>0</v>
      </c>
      <c r="U46" s="661">
        <v>0</v>
      </c>
      <c r="V46" s="661">
        <v>0</v>
      </c>
      <c r="W46" s="390">
        <v>0</v>
      </c>
      <c r="X46" s="391">
        <f>SUM(E46:W46)</f>
        <v>0</v>
      </c>
      <c r="Y46" s="390">
        <v>0</v>
      </c>
      <c r="Z46" s="390">
        <v>0</v>
      </c>
      <c r="AA46" s="661">
        <v>0</v>
      </c>
      <c r="AB46" s="661">
        <v>0</v>
      </c>
      <c r="AC46" s="661">
        <v>0</v>
      </c>
      <c r="AD46" s="390">
        <v>0</v>
      </c>
      <c r="AE46" s="390">
        <v>0</v>
      </c>
      <c r="AF46" s="390">
        <v>0</v>
      </c>
      <c r="AG46" s="661">
        <v>0</v>
      </c>
      <c r="AH46" s="661">
        <v>0</v>
      </c>
      <c r="AI46" s="390">
        <v>0</v>
      </c>
      <c r="AJ46" s="620"/>
      <c r="AK46" s="423">
        <f>SUM(X46:AJ46)</f>
        <v>0</v>
      </c>
      <c r="AL46" s="390">
        <v>0</v>
      </c>
      <c r="AM46" s="390">
        <v>0</v>
      </c>
      <c r="AN46" s="390">
        <v>0</v>
      </c>
      <c r="AO46" s="390">
        <v>0</v>
      </c>
      <c r="AP46" s="390">
        <v>0</v>
      </c>
      <c r="AQ46" s="390">
        <v>0</v>
      </c>
      <c r="AR46" s="390">
        <v>0</v>
      </c>
      <c r="AS46" s="423">
        <f>SUM(AK46:AR46)</f>
        <v>0</v>
      </c>
      <c r="AT46" s="576">
        <v>0</v>
      </c>
      <c r="AU46" s="576">
        <v>0</v>
      </c>
      <c r="AV46" s="853">
        <f>SUM(AS46:AU46)</f>
        <v>0</v>
      </c>
      <c r="AW46" s="513"/>
      <c r="AX46" s="430"/>
      <c r="AY46" s="430"/>
      <c r="BA46" s="430"/>
      <c r="BB46" s="389"/>
      <c r="BC46" s="389"/>
      <c r="BD46" s="389"/>
      <c r="BE46" s="389"/>
      <c r="BF46" s="389"/>
      <c r="BG46" s="389"/>
      <c r="BH46" s="430"/>
      <c r="BI46" s="389"/>
      <c r="BJ46" s="430"/>
      <c r="BK46" s="430"/>
    </row>
    <row r="47" spans="1:63">
      <c r="A47" s="5">
        <v>24</v>
      </c>
      <c r="B47" s="4" t="s">
        <v>54</v>
      </c>
      <c r="C47" s="4"/>
      <c r="E47" s="283">
        <f>SUM(E43:E46)</f>
        <v>18594</v>
      </c>
      <c r="F47" s="283">
        <f t="shared" ref="F47:N47" si="56">SUM(F43:F46)</f>
        <v>0</v>
      </c>
      <c r="G47" s="283">
        <f t="shared" si="56"/>
        <v>0</v>
      </c>
      <c r="H47" s="283">
        <f t="shared" si="56"/>
        <v>0</v>
      </c>
      <c r="I47" s="283">
        <f t="shared" si="56"/>
        <v>0</v>
      </c>
      <c r="J47" s="216">
        <f>SUM(J43:J46)</f>
        <v>0</v>
      </c>
      <c r="K47" s="283">
        <f t="shared" si="56"/>
        <v>0</v>
      </c>
      <c r="L47" s="283">
        <f t="shared" si="56"/>
        <v>-12</v>
      </c>
      <c r="M47" s="283">
        <f t="shared" si="56"/>
        <v>231</v>
      </c>
      <c r="N47" s="283">
        <f t="shared" si="56"/>
        <v>0</v>
      </c>
      <c r="O47" s="283">
        <f t="shared" ref="O47:P47" si="57">SUM(O43:O46)</f>
        <v>-9</v>
      </c>
      <c r="P47" s="283">
        <f t="shared" si="57"/>
        <v>0</v>
      </c>
      <c r="Q47" s="283">
        <f>SUM(Q43:Q46)</f>
        <v>0</v>
      </c>
      <c r="R47" s="283">
        <f>SUM(R43:R46)</f>
        <v>26</v>
      </c>
      <c r="S47" s="283">
        <f>SUM(S43:S46)</f>
        <v>-7</v>
      </c>
      <c r="T47" s="283">
        <f>SUM(T43:T46)</f>
        <v>-222</v>
      </c>
      <c r="U47" s="216">
        <f>SUM(U43:U46)</f>
        <v>0</v>
      </c>
      <c r="V47" s="216">
        <f t="shared" ref="V47:X47" si="58">SUM(V43:V46)</f>
        <v>36</v>
      </c>
      <c r="W47" s="283">
        <f t="shared" si="58"/>
        <v>-1505</v>
      </c>
      <c r="X47" s="391">
        <f t="shared" si="58"/>
        <v>17132</v>
      </c>
      <c r="Y47" s="283">
        <f t="shared" ref="Y47" si="59">SUM(Y43:Y46)</f>
        <v>176</v>
      </c>
      <c r="Z47" s="283">
        <f>SUM(Z43:Z46)</f>
        <v>12</v>
      </c>
      <c r="AA47" s="216">
        <f t="shared" ref="AA47" si="60">SUM(AA43:AA46)</f>
        <v>108</v>
      </c>
      <c r="AB47" s="216">
        <f>SUM(AB43:AB46)</f>
        <v>0</v>
      </c>
      <c r="AC47" s="216">
        <f t="shared" ref="AC47:AL47" si="61">SUM(AC43:AC46)</f>
        <v>0</v>
      </c>
      <c r="AD47" s="283">
        <f>SUM(AD43:AD46)</f>
        <v>-144</v>
      </c>
      <c r="AE47" s="285">
        <f t="shared" ref="AE47" si="62">SUM(AE43:AE46)</f>
        <v>0</v>
      </c>
      <c r="AF47" s="285">
        <f>SUM(AF43:AF46)</f>
        <v>2584</v>
      </c>
      <c r="AG47" s="745">
        <f>SUM(AG43:AG46)</f>
        <v>443</v>
      </c>
      <c r="AH47" s="745">
        <f>SUM(AH43:AH46)</f>
        <v>39</v>
      </c>
      <c r="AI47" s="283">
        <f>SUM(AI43:AI46)</f>
        <v>-34</v>
      </c>
      <c r="AJ47" s="622"/>
      <c r="AK47" s="423">
        <f t="shared" si="61"/>
        <v>20316</v>
      </c>
      <c r="AL47" s="285">
        <f t="shared" si="61"/>
        <v>0</v>
      </c>
      <c r="AM47" s="285">
        <f t="shared" ref="AM47:AS47" si="63">SUM(AM43:AM46)</f>
        <v>0</v>
      </c>
      <c r="AN47" s="285">
        <f>SUM(AN43:AN46)</f>
        <v>0</v>
      </c>
      <c r="AO47" s="283">
        <f t="shared" si="63"/>
        <v>0</v>
      </c>
      <c r="AP47" s="283">
        <f t="shared" ref="AP47:AR47" si="64">SUM(AP43:AP46)</f>
        <v>0</v>
      </c>
      <c r="AQ47" s="283">
        <f>SUM(AQ43:AQ46)</f>
        <v>0</v>
      </c>
      <c r="AR47" s="283">
        <f t="shared" si="64"/>
        <v>0</v>
      </c>
      <c r="AS47" s="423">
        <f t="shared" si="63"/>
        <v>20316</v>
      </c>
      <c r="AT47" s="578">
        <f t="shared" ref="AT47:AU47" si="65">SUM(AT43:AT46)</f>
        <v>0</v>
      </c>
      <c r="AU47" s="578">
        <f t="shared" si="65"/>
        <v>1874.0844722893153</v>
      </c>
      <c r="AV47" s="856">
        <f t="shared" ref="AV47" si="66">SUM(AV43:AV46)</f>
        <v>22190.084472289316</v>
      </c>
      <c r="AW47" s="513"/>
      <c r="AX47" s="430"/>
      <c r="AY47" s="430"/>
      <c r="BA47" s="430"/>
      <c r="BB47" s="536"/>
      <c r="BC47" s="536"/>
      <c r="BD47" s="536"/>
      <c r="BE47" s="536"/>
      <c r="BF47" s="536"/>
      <c r="BG47" s="536"/>
      <c r="BH47" s="430"/>
      <c r="BI47" s="536"/>
      <c r="BJ47" s="430"/>
      <c r="BK47" s="430"/>
    </row>
    <row r="48" spans="1:63" ht="19.5" customHeight="1">
      <c r="A48" s="5">
        <v>25</v>
      </c>
      <c r="B48" s="1" t="s">
        <v>55</v>
      </c>
      <c r="C48" s="4"/>
      <c r="D48" s="4"/>
      <c r="E48" s="283">
        <f t="shared" ref="E48:AA48" si="67">E20+E24+E30+E36+E38+E39+E40+E47</f>
        <v>241428</v>
      </c>
      <c r="F48" s="283">
        <f t="shared" si="67"/>
        <v>0</v>
      </c>
      <c r="G48" s="283">
        <f t="shared" si="67"/>
        <v>1</v>
      </c>
      <c r="H48" s="283">
        <f t="shared" si="67"/>
        <v>0</v>
      </c>
      <c r="I48" s="283">
        <f t="shared" si="67"/>
        <v>-5612</v>
      </c>
      <c r="J48" s="216">
        <f>J20+J24+J30+J36+J38+J39+J40+J47</f>
        <v>-351</v>
      </c>
      <c r="K48" s="283">
        <f t="shared" si="67"/>
        <v>-313</v>
      </c>
      <c r="L48" s="283">
        <f t="shared" si="67"/>
        <v>-12</v>
      </c>
      <c r="M48" s="283">
        <f t="shared" si="67"/>
        <v>231</v>
      </c>
      <c r="N48" s="283">
        <f t="shared" si="67"/>
        <v>0</v>
      </c>
      <c r="O48" s="283">
        <f t="shared" si="67"/>
        <v>-9</v>
      </c>
      <c r="P48" s="283">
        <f t="shared" si="67"/>
        <v>-5</v>
      </c>
      <c r="Q48" s="283">
        <f>Q20+Q24+Q30+Q36+Q38+Q39+Q40+Q47</f>
        <v>-6</v>
      </c>
      <c r="R48" s="283">
        <f>R20+R24+R30+R36+R38+R39+R40+R47</f>
        <v>11208</v>
      </c>
      <c r="S48" s="283">
        <f>S20+S24+S30+S36+S38+S39+S40+S47</f>
        <v>-102717</v>
      </c>
      <c r="T48" s="283">
        <f>T20+T24+T30+T36+T38+T39+T40+T47</f>
        <v>-222</v>
      </c>
      <c r="U48" s="216">
        <f>U20+U24+U30+U36+U38+U39+U40+U47</f>
        <v>0</v>
      </c>
      <c r="V48" s="216">
        <f t="shared" si="67"/>
        <v>134</v>
      </c>
      <c r="W48" s="283">
        <f>W20+W24+W30+W36+W38+W39+W40+W47</f>
        <v>-1505</v>
      </c>
      <c r="X48" s="391">
        <f t="shared" si="67"/>
        <v>142250</v>
      </c>
      <c r="Y48" s="283">
        <f t="shared" si="67"/>
        <v>644.13</v>
      </c>
      <c r="Z48" s="283">
        <f t="shared" si="67"/>
        <v>-13</v>
      </c>
      <c r="AA48" s="216">
        <f t="shared" si="67"/>
        <v>399</v>
      </c>
      <c r="AB48" s="216">
        <f>AB20+AB24+AB30+AB36+AB38+AB39+AB40+AB47</f>
        <v>0</v>
      </c>
      <c r="AC48" s="216">
        <f t="shared" ref="AC48:AL48" si="68">AC20+AC24+AC30+AC36+AC38+AC39+AC40+AC47</f>
        <v>230</v>
      </c>
      <c r="AD48" s="283">
        <f>AD20+AD24+AD30+AD36+AD38+AD39+AD40+AD47</f>
        <v>-89890</v>
      </c>
      <c r="AE48" s="285">
        <f t="shared" ref="AE48" si="69">AE20+AE24+AE30+AE36+AE38+AE39+AE40+AE47</f>
        <v>236</v>
      </c>
      <c r="AF48" s="285">
        <f t="shared" ref="AF48" si="70">AF20+AF24+AF30+AF36+AF38+AF39+AF40+AF47</f>
        <v>2584</v>
      </c>
      <c r="AG48" s="745">
        <f>AG20+AG24+AG30+AG36+AG38+AG39+AG40+AG47</f>
        <v>616</v>
      </c>
      <c r="AH48" s="745">
        <f>AH20+AH24+AH30+AH36+AH38+AH39+AH40+AH47</f>
        <v>72</v>
      </c>
      <c r="AI48" s="283">
        <f>AI20+AI24+AI30+AI36+AI38+AI39+AI40+AI47</f>
        <v>-34</v>
      </c>
      <c r="AJ48" s="622"/>
      <c r="AK48" s="423">
        <f t="shared" si="68"/>
        <v>57094.13</v>
      </c>
      <c r="AL48" s="283">
        <f t="shared" si="68"/>
        <v>0</v>
      </c>
      <c r="AM48" s="283">
        <f t="shared" ref="AM48:AO48" si="71">AM20+AM24+AM30+AM36+AM38+AM39+AM40+AM47</f>
        <v>0</v>
      </c>
      <c r="AN48" s="283">
        <f>AN20+AN24+AN30+AN36+AN38+AN39+AN40+AN47</f>
        <v>0</v>
      </c>
      <c r="AO48" s="283">
        <f t="shared" si="71"/>
        <v>0</v>
      </c>
      <c r="AP48" s="283">
        <f t="shared" ref="AP48:AR48" si="72">AP20+AP24+AP30+AP36+AP38+AP39+AP40+AP47</f>
        <v>0</v>
      </c>
      <c r="AQ48" s="283">
        <f>AQ20+AQ24+AQ30+AQ36+AQ38+AQ39+AQ40+AQ47</f>
        <v>0</v>
      </c>
      <c r="AR48" s="283">
        <f t="shared" si="72"/>
        <v>0</v>
      </c>
      <c r="AS48" s="423">
        <f>AS24+AS30+AS36+AS38+AS39+AS40+AS47</f>
        <v>57094.13</v>
      </c>
      <c r="AT48" s="578">
        <f t="shared" ref="AT48" si="73">AT20+AT24+AT30+AT36+AT38+AT39+AT40+AT47</f>
        <v>0</v>
      </c>
      <c r="AU48" s="578">
        <f>AU20+AU24+AU30+AU36+AU38+AU39+AU40+AU47</f>
        <v>5285.5093853280978</v>
      </c>
      <c r="AV48" s="517">
        <f>AV24+AV30+AV36+AV38+AV39+AV40+AV47</f>
        <v>62379.639385328104</v>
      </c>
      <c r="AW48" s="513"/>
      <c r="AX48" s="430"/>
      <c r="AY48" s="430"/>
      <c r="BA48" s="430"/>
      <c r="BB48" s="536"/>
      <c r="BC48" s="536"/>
      <c r="BD48" s="536"/>
      <c r="BE48" s="536"/>
      <c r="BF48" s="536"/>
      <c r="BG48" s="536"/>
      <c r="BH48" s="430"/>
      <c r="BI48" s="536"/>
      <c r="BJ48" s="430"/>
      <c r="BK48" s="430"/>
    </row>
    <row r="49" spans="1:68" ht="9" customHeight="1">
      <c r="A49" s="5"/>
      <c r="C49" s="4"/>
      <c r="D49" s="4"/>
      <c r="E49" s="281"/>
      <c r="F49" s="281"/>
      <c r="G49" s="281"/>
      <c r="H49" s="281"/>
      <c r="I49" s="281"/>
      <c r="J49" s="215"/>
      <c r="K49" s="281"/>
      <c r="L49" s="281"/>
      <c r="M49" s="281"/>
      <c r="N49" s="281"/>
      <c r="O49" s="281"/>
      <c r="P49" s="281"/>
      <c r="Q49" s="281"/>
      <c r="R49" s="281"/>
      <c r="S49" s="281"/>
      <c r="T49" s="281"/>
      <c r="U49" s="215"/>
      <c r="V49" s="215"/>
      <c r="W49" s="281"/>
      <c r="X49" s="388"/>
      <c r="Y49" s="281"/>
      <c r="Z49" s="281"/>
      <c r="AA49" s="215"/>
      <c r="AB49" s="215"/>
      <c r="AC49" s="215"/>
      <c r="AD49" s="281"/>
      <c r="AE49" s="328"/>
      <c r="AF49" s="328"/>
      <c r="AG49" s="744"/>
      <c r="AH49" s="744"/>
      <c r="AI49" s="281"/>
      <c r="AJ49" s="621"/>
      <c r="AK49" s="422"/>
      <c r="AL49" s="536"/>
      <c r="AM49" s="536"/>
      <c r="AN49" s="536"/>
      <c r="AO49" s="281"/>
      <c r="AP49" s="281"/>
      <c r="AQ49" s="281"/>
      <c r="AR49" s="281"/>
      <c r="AS49" s="422"/>
      <c r="AT49" s="577"/>
      <c r="AU49" s="577"/>
      <c r="AV49" s="853"/>
      <c r="AW49" s="513"/>
      <c r="AX49" s="430"/>
      <c r="AY49" s="430"/>
      <c r="BA49" s="430"/>
      <c r="BB49" s="536"/>
      <c r="BC49" s="536"/>
      <c r="BD49" s="536"/>
      <c r="BE49" s="536"/>
      <c r="BF49" s="536"/>
      <c r="BG49" s="536"/>
      <c r="BH49" s="430"/>
      <c r="BI49" s="536"/>
      <c r="BJ49" s="430"/>
      <c r="BK49" s="430"/>
    </row>
    <row r="50" spans="1:68" ht="13" customHeight="1">
      <c r="A50" s="5">
        <v>26</v>
      </c>
      <c r="B50" s="1" t="s">
        <v>56</v>
      </c>
      <c r="C50" s="4"/>
      <c r="D50" s="4"/>
      <c r="E50" s="281">
        <f t="shared" ref="E50:V50" si="74">E17-E48</f>
        <v>20266</v>
      </c>
      <c r="F50" s="281">
        <f t="shared" si="74"/>
        <v>0</v>
      </c>
      <c r="G50" s="281">
        <f t="shared" si="74"/>
        <v>-1</v>
      </c>
      <c r="H50" s="281">
        <f t="shared" si="74"/>
        <v>0</v>
      </c>
      <c r="I50" s="281">
        <f t="shared" si="74"/>
        <v>-14</v>
      </c>
      <c r="J50" s="215">
        <f>J17-J48</f>
        <v>351</v>
      </c>
      <c r="K50" s="281">
        <f t="shared" si="74"/>
        <v>313</v>
      </c>
      <c r="L50" s="281">
        <f t="shared" si="74"/>
        <v>12</v>
      </c>
      <c r="M50" s="281">
        <f t="shared" si="74"/>
        <v>-231</v>
      </c>
      <c r="N50" s="281">
        <f t="shared" si="74"/>
        <v>0</v>
      </c>
      <c r="O50" s="281">
        <f t="shared" si="74"/>
        <v>9</v>
      </c>
      <c r="P50" s="281">
        <f t="shared" si="74"/>
        <v>5</v>
      </c>
      <c r="Q50" s="281">
        <f>Q17-Q48</f>
        <v>6</v>
      </c>
      <c r="R50" s="281">
        <f>R17-R48</f>
        <v>1776</v>
      </c>
      <c r="S50" s="281">
        <f>S17-S48</f>
        <v>0</v>
      </c>
      <c r="T50" s="281">
        <f>T17-T48</f>
        <v>222</v>
      </c>
      <c r="U50" s="215">
        <f>U17-U48</f>
        <v>0</v>
      </c>
      <c r="V50" s="215">
        <f t="shared" si="74"/>
        <v>-134</v>
      </c>
      <c r="W50" s="281">
        <f>W17-W48</f>
        <v>1505</v>
      </c>
      <c r="X50" s="388">
        <f>SUM(E50:W50)</f>
        <v>24085</v>
      </c>
      <c r="Y50" s="281">
        <f t="shared" ref="Y50:AA50" si="75">Y17-Y48</f>
        <v>-644.13</v>
      </c>
      <c r="Z50" s="281">
        <f t="shared" si="75"/>
        <v>13</v>
      </c>
      <c r="AA50" s="215">
        <f t="shared" si="75"/>
        <v>-399</v>
      </c>
      <c r="AB50" s="215">
        <f>AB17-AB48</f>
        <v>0</v>
      </c>
      <c r="AC50" s="215">
        <f t="shared" ref="AC50:AL50" si="76">AC17-AC48</f>
        <v>-230</v>
      </c>
      <c r="AD50" s="281">
        <f>AD17-AD48</f>
        <v>12311</v>
      </c>
      <c r="AE50" s="328">
        <f t="shared" ref="AE50" si="77">AE17-AE48</f>
        <v>-236</v>
      </c>
      <c r="AF50" s="328">
        <f>AF17-AF48</f>
        <v>-2584</v>
      </c>
      <c r="AG50" s="744">
        <f>AG17-AG48</f>
        <v>-616</v>
      </c>
      <c r="AH50" s="744">
        <f>AH17-AH48</f>
        <v>-72</v>
      </c>
      <c r="AI50" s="281">
        <f>AI17-AI48</f>
        <v>34</v>
      </c>
      <c r="AJ50" s="621"/>
      <c r="AK50" s="422">
        <f t="shared" si="76"/>
        <v>31661.870000000003</v>
      </c>
      <c r="AL50" s="536">
        <f t="shared" si="76"/>
        <v>0</v>
      </c>
      <c r="AM50" s="536">
        <f t="shared" ref="AM50:AS50" si="78">AM17-AM48</f>
        <v>0</v>
      </c>
      <c r="AN50" s="536">
        <f>AN17-AN48</f>
        <v>0</v>
      </c>
      <c r="AO50" s="281">
        <f t="shared" si="78"/>
        <v>0</v>
      </c>
      <c r="AP50" s="281">
        <f t="shared" ref="AP50:AR50" si="79">AP17-AP48</f>
        <v>0</v>
      </c>
      <c r="AQ50" s="281">
        <f>AQ17-AQ48</f>
        <v>0</v>
      </c>
      <c r="AR50" s="281">
        <f t="shared" si="79"/>
        <v>0</v>
      </c>
      <c r="AS50" s="422">
        <f t="shared" si="78"/>
        <v>31661.870000000003</v>
      </c>
      <c r="AT50" s="577">
        <f t="shared" ref="AT50:AU50" si="80">AT17-AT48</f>
        <v>0</v>
      </c>
      <c r="AU50" s="577">
        <f t="shared" si="80"/>
        <v>-3423.9283697532878</v>
      </c>
      <c r="AV50" s="853">
        <f t="shared" ref="AV50" si="81">AV17-AV48</f>
        <v>28237.941630246714</v>
      </c>
      <c r="AW50" s="513"/>
      <c r="AX50" s="430"/>
      <c r="AY50" s="430"/>
      <c r="BA50" s="430"/>
      <c r="BB50" s="536"/>
      <c r="BC50" s="536"/>
      <c r="BD50" s="536"/>
      <c r="BE50" s="536"/>
      <c r="BF50" s="536"/>
      <c r="BG50" s="536"/>
      <c r="BH50" s="430"/>
      <c r="BI50" s="536"/>
      <c r="BJ50" s="430"/>
      <c r="BK50" s="430"/>
    </row>
    <row r="51" spans="1:68" ht="13" customHeight="1">
      <c r="A51" s="5"/>
      <c r="C51" s="4"/>
      <c r="D51" s="4"/>
      <c r="E51" s="281"/>
      <c r="F51" s="281"/>
      <c r="G51" s="281"/>
      <c r="H51" s="281"/>
      <c r="I51" s="281"/>
      <c r="J51" s="215"/>
      <c r="K51" s="281"/>
      <c r="L51" s="281"/>
      <c r="M51" s="281"/>
      <c r="N51" s="281"/>
      <c r="O51" s="281"/>
      <c r="P51" s="281"/>
      <c r="Q51" s="281"/>
      <c r="R51" s="281"/>
      <c r="S51" s="281"/>
      <c r="T51" s="281"/>
      <c r="U51" s="215"/>
      <c r="V51" s="215"/>
      <c r="W51" s="281"/>
      <c r="X51" s="388"/>
      <c r="Y51" s="281"/>
      <c r="Z51" s="281"/>
      <c r="AA51" s="215"/>
      <c r="AB51" s="215"/>
      <c r="AC51" s="215"/>
      <c r="AD51" s="281"/>
      <c r="AE51" s="328"/>
      <c r="AF51" s="328"/>
      <c r="AG51" s="744"/>
      <c r="AH51" s="744"/>
      <c r="AI51" s="281"/>
      <c r="AJ51" s="621"/>
      <c r="AK51" s="422"/>
      <c r="AL51" s="536"/>
      <c r="AM51" s="536"/>
      <c r="AN51" s="536"/>
      <c r="AO51" s="281"/>
      <c r="AP51" s="281"/>
      <c r="AQ51" s="281"/>
      <c r="AR51" s="281"/>
      <c r="AS51" s="422"/>
      <c r="AT51" s="577"/>
      <c r="AU51" s="577"/>
      <c r="AV51" s="853"/>
      <c r="AW51" s="513"/>
      <c r="AX51" s="430"/>
      <c r="AY51" s="430"/>
      <c r="BA51" s="430"/>
      <c r="BB51" s="536"/>
      <c r="BC51" s="536"/>
      <c r="BD51" s="536"/>
      <c r="BE51" s="536"/>
      <c r="BF51" s="536"/>
      <c r="BG51" s="536"/>
      <c r="BH51" s="430"/>
      <c r="BI51" s="536"/>
      <c r="BJ51" s="430"/>
      <c r="BK51" s="430"/>
    </row>
    <row r="52" spans="1:68" ht="13" customHeight="1">
      <c r="A52" s="5"/>
      <c r="B52" s="1" t="s">
        <v>57</v>
      </c>
      <c r="C52" s="4"/>
      <c r="D52" s="4"/>
      <c r="E52" s="281"/>
      <c r="F52" s="458"/>
      <c r="G52" s="458"/>
      <c r="H52" s="458"/>
      <c r="I52" s="458"/>
      <c r="J52" s="660"/>
      <c r="K52" s="458"/>
      <c r="L52" s="458"/>
      <c r="M52" s="458"/>
      <c r="N52" s="458"/>
      <c r="O52" s="458"/>
      <c r="P52" s="458"/>
      <c r="Q52" s="458"/>
      <c r="R52" s="458"/>
      <c r="S52" s="458"/>
      <c r="T52" s="458"/>
      <c r="U52" s="660"/>
      <c r="V52" s="660"/>
      <c r="W52" s="458"/>
      <c r="X52" s="388"/>
      <c r="Y52" s="458"/>
      <c r="Z52" s="458"/>
      <c r="AA52" s="660"/>
      <c r="AB52" s="660"/>
      <c r="AC52" s="660"/>
      <c r="AD52" s="458"/>
      <c r="AE52" s="458"/>
      <c r="AF52" s="458"/>
      <c r="AG52" s="666"/>
      <c r="AH52" s="666"/>
      <c r="AI52" s="458"/>
      <c r="AJ52" s="619"/>
      <c r="AK52" s="422"/>
      <c r="AL52" s="389"/>
      <c r="AM52" s="389"/>
      <c r="AN52" s="389"/>
      <c r="AO52" s="458"/>
      <c r="AP52" s="458"/>
      <c r="AQ52" s="458"/>
      <c r="AR52" s="458"/>
      <c r="AS52" s="422"/>
      <c r="AT52" s="575"/>
      <c r="AU52" s="575"/>
      <c r="AV52" s="853"/>
      <c r="AW52" s="513"/>
      <c r="AX52" s="430"/>
      <c r="AY52" s="430"/>
      <c r="BA52" s="430"/>
      <c r="BB52" s="389"/>
      <c r="BC52" s="389"/>
      <c r="BD52" s="389"/>
      <c r="BE52" s="389"/>
      <c r="BF52" s="389"/>
      <c r="BG52" s="389"/>
      <c r="BH52" s="430"/>
      <c r="BI52" s="389"/>
      <c r="BJ52" s="430"/>
      <c r="BK52" s="430"/>
    </row>
    <row r="53" spans="1:68">
      <c r="A53" s="5">
        <v>27</v>
      </c>
      <c r="B53" s="4" t="s">
        <v>58</v>
      </c>
      <c r="D53" s="4"/>
      <c r="E53" s="281">
        <f>'ROO INPUT'!$F54</f>
        <v>-6651</v>
      </c>
      <c r="F53" s="458">
        <f>F50*0.35</f>
        <v>0</v>
      </c>
      <c r="G53" s="458">
        <f>G50*0.35</f>
        <v>-0.35</v>
      </c>
      <c r="H53" s="458">
        <f t="shared" ref="H53" si="82">H50*0.35</f>
        <v>0</v>
      </c>
      <c r="I53" s="458">
        <f t="shared" ref="I53:M53" si="83">I50*0.35</f>
        <v>-4.8999999999999995</v>
      </c>
      <c r="J53" s="660">
        <f>J50*0.35</f>
        <v>122.85</v>
      </c>
      <c r="K53" s="458">
        <f t="shared" si="83"/>
        <v>109.55</v>
      </c>
      <c r="L53" s="458">
        <f t="shared" si="83"/>
        <v>4.1999999999999993</v>
      </c>
      <c r="M53" s="458">
        <f t="shared" si="83"/>
        <v>-80.849999999999994</v>
      </c>
      <c r="N53" s="458">
        <v>-223</v>
      </c>
      <c r="O53" s="458">
        <f>O50*0.35</f>
        <v>3.15</v>
      </c>
      <c r="P53" s="458">
        <f t="shared" ref="P53:V53" si="84">P50*0.35</f>
        <v>1.75</v>
      </c>
      <c r="Q53" s="458">
        <f>Q50*0.35</f>
        <v>2.0999999999999996</v>
      </c>
      <c r="R53" s="458">
        <f>R50*0.35</f>
        <v>621.59999999999991</v>
      </c>
      <c r="S53" s="458">
        <f>S50*0.35</f>
        <v>0</v>
      </c>
      <c r="T53" s="458">
        <f>T50*0.35</f>
        <v>77.699999999999989</v>
      </c>
      <c r="U53" s="660">
        <f>'DEBT CALC'!E63</f>
        <v>-85</v>
      </c>
      <c r="V53" s="660">
        <f t="shared" si="84"/>
        <v>-46.9</v>
      </c>
      <c r="W53" s="458">
        <f t="shared" ref="W53" si="85">W50*0.35</f>
        <v>526.75</v>
      </c>
      <c r="X53" s="388">
        <f>SUM(E53:W53)</f>
        <v>-5622.3499999999995</v>
      </c>
      <c r="Y53" s="458">
        <f>Y50*0.35</f>
        <v>-225.44549999999998</v>
      </c>
      <c r="Z53" s="458">
        <f t="shared" ref="Z53:AA53" si="86">Z50*0.35</f>
        <v>4.55</v>
      </c>
      <c r="AA53" s="660">
        <f t="shared" si="86"/>
        <v>-139.64999999999998</v>
      </c>
      <c r="AB53" s="660">
        <f>AB50*0.35</f>
        <v>0</v>
      </c>
      <c r="AC53" s="660">
        <f t="shared" ref="AC53:AI53" si="87">AC50*0.35</f>
        <v>-80.5</v>
      </c>
      <c r="AD53" s="458">
        <f t="shared" si="87"/>
        <v>4308.8499999999995</v>
      </c>
      <c r="AE53" s="458">
        <f>AE50*0.35</f>
        <v>-82.6</v>
      </c>
      <c r="AF53" s="458">
        <f t="shared" si="87"/>
        <v>-904.4</v>
      </c>
      <c r="AG53" s="666">
        <f t="shared" si="87"/>
        <v>-215.6</v>
      </c>
      <c r="AH53" s="666">
        <f t="shared" si="87"/>
        <v>-25.2</v>
      </c>
      <c r="AI53" s="458">
        <f t="shared" si="87"/>
        <v>11.899999999999999</v>
      </c>
      <c r="AJ53" s="619"/>
      <c r="AK53" s="422">
        <f>SUM(X53:AJ53)</f>
        <v>-2970.4454999999989</v>
      </c>
      <c r="AL53" s="389">
        <f t="shared" ref="AL53:AP53" si="88">AL50*0.35</f>
        <v>0</v>
      </c>
      <c r="AM53" s="389">
        <f t="shared" si="88"/>
        <v>0</v>
      </c>
      <c r="AN53" s="389">
        <f t="shared" si="88"/>
        <v>0</v>
      </c>
      <c r="AO53" s="458">
        <f t="shared" si="88"/>
        <v>0</v>
      </c>
      <c r="AP53" s="458">
        <f t="shared" si="88"/>
        <v>0</v>
      </c>
      <c r="AQ53" s="458">
        <f>AQ50*0.35</f>
        <v>0</v>
      </c>
      <c r="AR53" s="458">
        <f t="shared" ref="AR53" si="89">AR50*0.35</f>
        <v>0</v>
      </c>
      <c r="AS53" s="422">
        <f>SUM(AK53:AR53)</f>
        <v>-2970.4454999999989</v>
      </c>
      <c r="AT53" s="575">
        <f t="shared" ref="AT53" si="90">AT50*0.35</f>
        <v>0</v>
      </c>
      <c r="AU53" s="575">
        <v>3320.2750705863482</v>
      </c>
      <c r="AV53" s="853">
        <f>SUM(AS53:AU53)</f>
        <v>349.82957058634929</v>
      </c>
      <c r="AW53" s="513"/>
      <c r="AX53" s="430"/>
      <c r="AY53" s="430"/>
      <c r="BA53" s="430"/>
      <c r="BB53" s="389"/>
      <c r="BC53" s="389"/>
      <c r="BD53" s="389"/>
      <c r="BE53" s="389"/>
      <c r="BF53" s="389"/>
      <c r="BG53" s="389"/>
      <c r="BH53" s="430"/>
      <c r="BI53" s="389"/>
      <c r="BJ53" s="430"/>
      <c r="BK53" s="430"/>
    </row>
    <row r="54" spans="1:68">
      <c r="A54" s="5">
        <v>28</v>
      </c>
      <c r="B54" s="4" t="s">
        <v>189</v>
      </c>
      <c r="D54" s="4"/>
      <c r="E54" s="281">
        <f>'ROO INPUT'!$F55</f>
        <v>0</v>
      </c>
      <c r="F54" s="458">
        <f>(F81*'RR SUMMARY'!$O$14)*-0.35</f>
        <v>-0.49679182</v>
      </c>
      <c r="G54" s="458">
        <f>(G81*'RR SUMMARY'!$O$14)*-0.35</f>
        <v>0</v>
      </c>
      <c r="H54" s="458">
        <f>(H81*'RR SUMMARY'!$O$14)*-0.35</f>
        <v>-28.098545339199998</v>
      </c>
      <c r="I54" s="458">
        <f>(I81*'RR SUMMARY'!$O$14)*-0.35</f>
        <v>0</v>
      </c>
      <c r="J54" s="660">
        <f>(J81*'RR SUMMARY'!$O$14)*-0.35</f>
        <v>0</v>
      </c>
      <c r="K54" s="458">
        <f>(K81*'RR SUMMARY'!$O$14)*-0.35</f>
        <v>0</v>
      </c>
      <c r="L54" s="458">
        <f>(L81*'RR SUMMARY'!$O$14)*-0.35</f>
        <v>0</v>
      </c>
      <c r="M54" s="458">
        <f>(M81*'RR SUMMARY'!$O$14)*-0.35</f>
        <v>0</v>
      </c>
      <c r="N54" s="458"/>
      <c r="O54" s="458">
        <f>(O81*'RR SUMMARY'!$O$14)*-0.35</f>
        <v>0</v>
      </c>
      <c r="P54" s="458">
        <f>(P81*'RR SUMMARY'!$O$14)*-0.35</f>
        <v>0</v>
      </c>
      <c r="Q54" s="458">
        <f>(Q81*'RR SUMMARY'!$O$14)*-0.35</f>
        <v>0</v>
      </c>
      <c r="R54" s="458">
        <f>(R81*'RR SUMMARY'!$O$14)*-0.35</f>
        <v>0</v>
      </c>
      <c r="S54" s="458">
        <f>(S81*'RR SUMMARY'!$O$14)*-0.35</f>
        <v>0</v>
      </c>
      <c r="T54" s="458">
        <f>(T81*'RR SUMMARY'!$O$14)*-0.35</f>
        <v>0</v>
      </c>
      <c r="U54" s="660"/>
      <c r="V54" s="660">
        <f>(V81*'RR SUMMARY'!$O$14)*-0.35</f>
        <v>0</v>
      </c>
      <c r="W54" s="458">
        <f>(W81*'RR SUMMARY'!$O$14)*-0.35</f>
        <v>0</v>
      </c>
      <c r="X54" s="388">
        <f>SUM(E54:W54)</f>
        <v>-28.595337159199996</v>
      </c>
      <c r="Y54" s="458">
        <f>(Y81*'RR SUMMARY'!$O$14)*-0.35</f>
        <v>0</v>
      </c>
      <c r="Z54" s="458">
        <f>(Z81*'RR SUMMARY'!$O$14)*-0.35</f>
        <v>0</v>
      </c>
      <c r="AA54" s="660">
        <f>(AA81*'RR SUMMARY'!$O$14)*-0.35</f>
        <v>0</v>
      </c>
      <c r="AB54" s="660">
        <f>(AB81*'RR SUMMARY'!$O$14)*-0.35</f>
        <v>0</v>
      </c>
      <c r="AC54" s="660">
        <f>(AC81*'RR SUMMARY'!$O$14)*-0.35</f>
        <v>0</v>
      </c>
      <c r="AD54" s="458">
        <f>(AD81*'RR SUMMARY'!$O$14)*-0.35</f>
        <v>0</v>
      </c>
      <c r="AE54" s="458">
        <f>(AE81*'RR SUMMARY'!$O$14)*-0.35</f>
        <v>0</v>
      </c>
      <c r="AF54" s="458">
        <f>(AF81*'RR SUMMARY'!$O$14)*-0.35</f>
        <v>0</v>
      </c>
      <c r="AG54" s="666">
        <f>(AG81*'RR SUMMARY'!$O$14)*-0.35</f>
        <v>-95.781462896000008</v>
      </c>
      <c r="AH54" s="666">
        <f>(AH81*'RR SUMMARY'!$O$14)*-0.35</f>
        <v>-74.399542963199991</v>
      </c>
      <c r="AI54" s="458">
        <f>(AI81*'RR SUMMARY'!$O$14)*-0.35</f>
        <v>0</v>
      </c>
      <c r="AJ54" s="619"/>
      <c r="AK54" s="422">
        <f>SUM(X54:AJ54)</f>
        <v>-198.77634301839998</v>
      </c>
      <c r="AL54" s="389">
        <f>(AL81*'RR SUMMARY'!$O$14)*-0.35</f>
        <v>0</v>
      </c>
      <c r="AM54" s="389">
        <f>(AM81*'RR SUMMARY'!$O$14)*-0.35</f>
        <v>0</v>
      </c>
      <c r="AN54" s="389">
        <f>(AN81*'RR SUMMARY'!$O$14)*-0.35</f>
        <v>0</v>
      </c>
      <c r="AO54" s="458">
        <f>(AO81*'RR SUMMARY'!$O$14)*-0.35</f>
        <v>0</v>
      </c>
      <c r="AP54" s="458">
        <f>(AP81*'RR SUMMARY'!$O$14)*-0.35</f>
        <v>0</v>
      </c>
      <c r="AQ54" s="458">
        <f>(AQ81*'RR SUMMARY'!$O$14)*-0.35</f>
        <v>0</v>
      </c>
      <c r="AR54" s="458">
        <f>(AR81*'RR SUMMARY'!$O$14)*-0.35</f>
        <v>0</v>
      </c>
      <c r="AS54" s="422">
        <f>SUM(AK54:AR54)</f>
        <v>-198.77634301839998</v>
      </c>
      <c r="AT54" s="575">
        <v>0</v>
      </c>
      <c r="AU54" s="575">
        <v>-165.28328746644831</v>
      </c>
      <c r="AV54" s="853">
        <f>SUM(AS54:AU54)</f>
        <v>-364.0596304848483</v>
      </c>
      <c r="AW54" s="513"/>
      <c r="AX54" s="430"/>
      <c r="AY54" s="430"/>
      <c r="BA54" s="430"/>
      <c r="BB54" s="389"/>
      <c r="BC54" s="389"/>
      <c r="BD54" s="389"/>
      <c r="BE54" s="389"/>
      <c r="BF54" s="389"/>
      <c r="BG54" s="389"/>
      <c r="BH54" s="430"/>
      <c r="BI54" s="389"/>
      <c r="BJ54" s="430"/>
      <c r="BK54" s="430"/>
    </row>
    <row r="55" spans="1:68">
      <c r="A55" s="5">
        <v>29</v>
      </c>
      <c r="B55" s="4" t="s">
        <v>59</v>
      </c>
      <c r="D55" s="4"/>
      <c r="E55" s="281">
        <f>'ROO INPUT'!$F56</f>
        <v>12388</v>
      </c>
      <c r="F55" s="458">
        <v>0</v>
      </c>
      <c r="G55" s="458">
        <v>0</v>
      </c>
      <c r="H55" s="458">
        <v>0</v>
      </c>
      <c r="I55" s="458">
        <v>0</v>
      </c>
      <c r="J55" s="660">
        <v>0</v>
      </c>
      <c r="K55" s="458">
        <v>0</v>
      </c>
      <c r="L55" s="458">
        <v>0</v>
      </c>
      <c r="M55" s="458">
        <v>0</v>
      </c>
      <c r="N55" s="458">
        <v>0</v>
      </c>
      <c r="O55" s="458">
        <v>0</v>
      </c>
      <c r="P55" s="458">
        <v>0</v>
      </c>
      <c r="Q55" s="458">
        <v>0</v>
      </c>
      <c r="R55" s="458">
        <v>0</v>
      </c>
      <c r="S55" s="458">
        <v>0</v>
      </c>
      <c r="T55" s="458">
        <v>0</v>
      </c>
      <c r="U55" s="660">
        <v>0</v>
      </c>
      <c r="V55" s="660">
        <v>0</v>
      </c>
      <c r="W55" s="458">
        <v>0</v>
      </c>
      <c r="X55" s="388">
        <f>SUM(E55:W55)</f>
        <v>12388</v>
      </c>
      <c r="Y55" s="458">
        <v>0</v>
      </c>
      <c r="Z55" s="458">
        <v>0</v>
      </c>
      <c r="AA55" s="660">
        <v>0</v>
      </c>
      <c r="AB55" s="660">
        <v>0</v>
      </c>
      <c r="AC55" s="660">
        <v>0</v>
      </c>
      <c r="AD55" s="458">
        <v>0</v>
      </c>
      <c r="AE55" s="458">
        <v>0</v>
      </c>
      <c r="AF55" s="458">
        <v>0</v>
      </c>
      <c r="AG55" s="666">
        <v>0</v>
      </c>
      <c r="AH55" s="666">
        <v>0</v>
      </c>
      <c r="AI55" s="458">
        <v>0</v>
      </c>
      <c r="AJ55" s="619"/>
      <c r="AK55" s="422">
        <f>SUM(X55:AJ55)</f>
        <v>12388</v>
      </c>
      <c r="AL55" s="389">
        <v>0</v>
      </c>
      <c r="AM55" s="389">
        <v>0</v>
      </c>
      <c r="AN55" s="389">
        <v>0</v>
      </c>
      <c r="AO55" s="458">
        <v>0</v>
      </c>
      <c r="AP55" s="458">
        <v>0</v>
      </c>
      <c r="AQ55" s="458">
        <v>0</v>
      </c>
      <c r="AR55" s="458">
        <v>0</v>
      </c>
      <c r="AS55" s="422">
        <f>SUM(AK55:AR55)</f>
        <v>12388</v>
      </c>
      <c r="AT55" s="575">
        <v>0</v>
      </c>
      <c r="AU55" s="575">
        <v>-4550</v>
      </c>
      <c r="AV55" s="853">
        <f>SUM(AS55:AU55)</f>
        <v>7838</v>
      </c>
      <c r="AW55" s="513"/>
      <c r="AX55" s="430"/>
      <c r="AY55" s="430"/>
      <c r="BA55" s="430"/>
      <c r="BB55" s="389"/>
      <c r="BC55" s="389"/>
      <c r="BD55" s="389"/>
      <c r="BE55" s="389"/>
      <c r="BF55" s="389"/>
      <c r="BG55" s="389"/>
      <c r="BH55" s="430"/>
      <c r="BI55" s="389"/>
      <c r="BJ55" s="430"/>
      <c r="BK55" s="430"/>
    </row>
    <row r="56" spans="1:68">
      <c r="A56" s="5">
        <v>30</v>
      </c>
      <c r="B56" s="4" t="s">
        <v>60</v>
      </c>
      <c r="D56" s="4"/>
      <c r="E56" s="283">
        <f>'ROO INPUT'!$F57</f>
        <v>-20</v>
      </c>
      <c r="F56" s="390"/>
      <c r="G56" s="390"/>
      <c r="H56" s="390"/>
      <c r="I56" s="390">
        <v>0</v>
      </c>
      <c r="J56" s="661">
        <v>0</v>
      </c>
      <c r="K56" s="390">
        <v>0</v>
      </c>
      <c r="L56" s="390">
        <v>0</v>
      </c>
      <c r="M56" s="390">
        <v>0</v>
      </c>
      <c r="N56" s="390">
        <v>0</v>
      </c>
      <c r="O56" s="390">
        <v>0</v>
      </c>
      <c r="P56" s="390">
        <v>0</v>
      </c>
      <c r="Q56" s="390">
        <v>0</v>
      </c>
      <c r="R56" s="390">
        <v>0</v>
      </c>
      <c r="S56" s="390">
        <v>0</v>
      </c>
      <c r="T56" s="390">
        <v>0</v>
      </c>
      <c r="U56" s="661">
        <v>0</v>
      </c>
      <c r="V56" s="661">
        <v>0</v>
      </c>
      <c r="W56" s="390">
        <v>0</v>
      </c>
      <c r="X56" s="391">
        <f>SUM(E56:W56)</f>
        <v>-20</v>
      </c>
      <c r="Y56" s="390">
        <v>0</v>
      </c>
      <c r="Z56" s="390">
        <v>0</v>
      </c>
      <c r="AA56" s="661">
        <v>0</v>
      </c>
      <c r="AB56" s="661">
        <v>0</v>
      </c>
      <c r="AC56" s="661">
        <v>0</v>
      </c>
      <c r="AD56" s="390">
        <v>0</v>
      </c>
      <c r="AE56" s="390">
        <v>0</v>
      </c>
      <c r="AF56" s="390">
        <v>0</v>
      </c>
      <c r="AG56" s="661">
        <v>0</v>
      </c>
      <c r="AH56" s="661">
        <v>0</v>
      </c>
      <c r="AI56" s="390">
        <v>0</v>
      </c>
      <c r="AJ56" s="620"/>
      <c r="AK56" s="423">
        <f>SUM(X56:AJ56)</f>
        <v>-20</v>
      </c>
      <c r="AL56" s="390">
        <v>0</v>
      </c>
      <c r="AM56" s="390">
        <v>0</v>
      </c>
      <c r="AN56" s="390">
        <v>0</v>
      </c>
      <c r="AO56" s="390">
        <v>0</v>
      </c>
      <c r="AP56" s="390">
        <v>0</v>
      </c>
      <c r="AQ56" s="390">
        <v>0</v>
      </c>
      <c r="AR56" s="390">
        <v>0</v>
      </c>
      <c r="AS56" s="423">
        <f>SUM(AK56:AR56)</f>
        <v>-20</v>
      </c>
      <c r="AT56" s="576">
        <v>0</v>
      </c>
      <c r="AU56" s="576">
        <v>0</v>
      </c>
      <c r="AV56" s="853">
        <f>SUM(AS56:AU56)</f>
        <v>-20</v>
      </c>
      <c r="AW56" s="513"/>
      <c r="AX56" s="430"/>
      <c r="AY56" s="430"/>
      <c r="BA56" s="430"/>
      <c r="BB56" s="389"/>
      <c r="BC56" s="389"/>
      <c r="BD56" s="389"/>
      <c r="BE56" s="389"/>
      <c r="BF56" s="389"/>
      <c r="BG56" s="389"/>
      <c r="BH56" s="430"/>
      <c r="BI56" s="389"/>
      <c r="BJ56" s="430"/>
      <c r="BK56" s="430"/>
    </row>
    <row r="57" spans="1:68">
      <c r="A57" s="5"/>
      <c r="E57" s="281"/>
      <c r="F57" s="281"/>
      <c r="G57" s="281"/>
      <c r="H57" s="281"/>
      <c r="I57" s="281"/>
      <c r="J57" s="215"/>
      <c r="K57" s="281"/>
      <c r="L57" s="281"/>
      <c r="M57" s="281"/>
      <c r="N57" s="281"/>
      <c r="O57" s="281"/>
      <c r="P57" s="281"/>
      <c r="Q57" s="281"/>
      <c r="R57" s="281"/>
      <c r="S57" s="281"/>
      <c r="T57" s="281"/>
      <c r="U57" s="215"/>
      <c r="V57" s="215"/>
      <c r="W57" s="281"/>
      <c r="X57" s="388"/>
      <c r="Y57" s="281"/>
      <c r="Z57" s="281"/>
      <c r="AA57" s="215"/>
      <c r="AB57" s="215"/>
      <c r="AC57" s="215"/>
      <c r="AD57" s="281"/>
      <c r="AE57" s="328"/>
      <c r="AF57" s="328"/>
      <c r="AG57" s="744"/>
      <c r="AH57" s="744"/>
      <c r="AI57" s="281"/>
      <c r="AJ57" s="621"/>
      <c r="AK57" s="422"/>
      <c r="AL57" s="536"/>
      <c r="AM57" s="536"/>
      <c r="AN57" s="536"/>
      <c r="AO57" s="281"/>
      <c r="AP57" s="281"/>
      <c r="AQ57" s="281"/>
      <c r="AR57" s="281"/>
      <c r="AS57" s="422"/>
      <c r="AT57" s="577"/>
      <c r="AU57" s="577"/>
      <c r="AV57" s="853"/>
      <c r="AW57" s="513"/>
      <c r="AX57" s="430"/>
      <c r="AY57" s="430"/>
      <c r="BA57" s="430"/>
      <c r="BB57" s="536"/>
      <c r="BC57" s="536"/>
      <c r="BD57" s="536"/>
      <c r="BE57" s="536"/>
      <c r="BF57" s="536"/>
      <c r="BG57" s="536"/>
      <c r="BH57" s="430"/>
      <c r="BI57" s="536"/>
      <c r="BJ57" s="430"/>
      <c r="BK57" s="430"/>
    </row>
    <row r="58" spans="1:68" s="3" customFormat="1" ht="12" thickBot="1">
      <c r="A58" s="154">
        <v>31</v>
      </c>
      <c r="B58" s="3" t="s">
        <v>61</v>
      </c>
      <c r="E58" s="464">
        <f>E50-SUM(E53:E56)</f>
        <v>14549</v>
      </c>
      <c r="F58" s="464">
        <f t="shared" ref="F58:O58" si="91">F50-SUM(F53:F56)</f>
        <v>0.49679182</v>
      </c>
      <c r="G58" s="464">
        <f>G50-SUM(G53:G56)</f>
        <v>-0.65</v>
      </c>
      <c r="H58" s="464">
        <f t="shared" si="91"/>
        <v>28.098545339199998</v>
      </c>
      <c r="I58" s="464">
        <f t="shared" si="91"/>
        <v>-9.1000000000000014</v>
      </c>
      <c r="J58" s="322">
        <f>J50-SUM(J53:J56)</f>
        <v>228.15</v>
      </c>
      <c r="K58" s="464">
        <f t="shared" si="91"/>
        <v>203.45</v>
      </c>
      <c r="L58" s="464">
        <f t="shared" si="91"/>
        <v>7.8000000000000007</v>
      </c>
      <c r="M58" s="464">
        <f t="shared" si="91"/>
        <v>-150.15</v>
      </c>
      <c r="N58" s="464">
        <f t="shared" si="91"/>
        <v>223</v>
      </c>
      <c r="O58" s="464">
        <f t="shared" si="91"/>
        <v>5.85</v>
      </c>
      <c r="P58" s="464">
        <f t="shared" ref="P58:R58" si="92">P50-SUM(P53:P56)</f>
        <v>3.25</v>
      </c>
      <c r="Q58" s="464">
        <f t="shared" si="92"/>
        <v>3.9000000000000004</v>
      </c>
      <c r="R58" s="464">
        <f t="shared" si="92"/>
        <v>1154.4000000000001</v>
      </c>
      <c r="S58" s="464">
        <f t="shared" ref="S58" si="93">S50-SUM(S53:S56)</f>
        <v>0</v>
      </c>
      <c r="T58" s="464">
        <f>T50-SUM(T53:T56)</f>
        <v>144.30000000000001</v>
      </c>
      <c r="U58" s="322">
        <f t="shared" ref="U58" si="94">U50-SUM(U53:U56)</f>
        <v>85</v>
      </c>
      <c r="V58" s="322">
        <f>V50-SUM(V53:V56)</f>
        <v>-87.1</v>
      </c>
      <c r="W58" s="464">
        <f>W50-SUM(W53:W56)</f>
        <v>978.25</v>
      </c>
      <c r="X58" s="393">
        <f>X50-SUM(X53:X56)+X57</f>
        <v>17367.945337159199</v>
      </c>
      <c r="Y58" s="464">
        <f t="shared" ref="Y58:Z58" si="95">Y50-SUM(Y53:Y56)</f>
        <v>-418.68450000000001</v>
      </c>
      <c r="Z58" s="464">
        <f t="shared" si="95"/>
        <v>8.4499999999999993</v>
      </c>
      <c r="AA58" s="322">
        <f t="shared" ref="AA58" si="96">AA50-SUM(AA53:AA56)</f>
        <v>-259.35000000000002</v>
      </c>
      <c r="AB58" s="322">
        <f>AB50-SUM(AB53:AB56)</f>
        <v>0</v>
      </c>
      <c r="AC58" s="322">
        <f>AC50-SUM(AC53:AC56)</f>
        <v>-149.5</v>
      </c>
      <c r="AD58" s="464">
        <f t="shared" ref="AD58" si="97">AD50-SUM(AD53:AD56)</f>
        <v>8002.1500000000005</v>
      </c>
      <c r="AE58" s="534">
        <f t="shared" ref="AE58:AI58" si="98">AE50-SUM(AE53:AE56)</f>
        <v>-153.4</v>
      </c>
      <c r="AF58" s="534">
        <f t="shared" si="98"/>
        <v>-1679.6</v>
      </c>
      <c r="AG58" s="746">
        <f t="shared" si="98"/>
        <v>-304.61853710399998</v>
      </c>
      <c r="AH58" s="746">
        <f t="shared" si="98"/>
        <v>27.599542963199994</v>
      </c>
      <c r="AI58" s="464">
        <f t="shared" si="98"/>
        <v>22.1</v>
      </c>
      <c r="AJ58" s="623"/>
      <c r="AK58" s="424">
        <f>AK50-SUM(AK53:AK56)+AK57</f>
        <v>22463.091843018403</v>
      </c>
      <c r="AL58" s="534">
        <f t="shared" ref="AL58:AP58" si="99">AL50-SUM(AL53:AL56)</f>
        <v>0</v>
      </c>
      <c r="AM58" s="534">
        <f t="shared" si="99"/>
        <v>0</v>
      </c>
      <c r="AN58" s="534">
        <f t="shared" si="99"/>
        <v>0</v>
      </c>
      <c r="AO58" s="464">
        <f t="shared" si="99"/>
        <v>0</v>
      </c>
      <c r="AP58" s="464">
        <f t="shared" si="99"/>
        <v>0</v>
      </c>
      <c r="AQ58" s="464">
        <f>AQ50-SUM(AQ53:AQ56)</f>
        <v>0</v>
      </c>
      <c r="AR58" s="464">
        <f t="shared" ref="AR58" si="100">AR50-SUM(AR53:AR56)</f>
        <v>0</v>
      </c>
      <c r="AS58" s="424">
        <f>AS50-SUM(AS53:AS56)+AS57</f>
        <v>22463.091843018403</v>
      </c>
      <c r="AT58" s="579">
        <f t="shared" ref="AT58:AU58" si="101">AT50-SUM(AT53:AT56)</f>
        <v>0</v>
      </c>
      <c r="AU58" s="579">
        <f t="shared" si="101"/>
        <v>-2028.9201528731878</v>
      </c>
      <c r="AV58" s="857">
        <f>AV50-SUM(AV53:AV56)</f>
        <v>20434.171690145213</v>
      </c>
      <c r="AW58" s="943"/>
      <c r="AX58" s="943"/>
      <c r="AY58" s="838"/>
      <c r="AZ58" s="875"/>
      <c r="BA58" s="434"/>
      <c r="BB58" s="876"/>
      <c r="BC58" s="876"/>
      <c r="BD58" s="876"/>
      <c r="BE58" s="876"/>
      <c r="BF58" s="876"/>
      <c r="BG58" s="876"/>
      <c r="BH58" s="434"/>
      <c r="BI58" s="876"/>
      <c r="BJ58" s="434"/>
      <c r="BK58" s="434"/>
      <c r="BL58" s="875"/>
      <c r="BM58" s="875"/>
      <c r="BN58" s="875"/>
      <c r="BO58" s="875"/>
      <c r="BP58" s="875"/>
    </row>
    <row r="59" spans="1:68" ht="6" customHeight="1" thickTop="1">
      <c r="E59" s="281"/>
      <c r="F59" s="281"/>
      <c r="G59" s="281"/>
      <c r="H59" s="281"/>
      <c r="I59" s="281"/>
      <c r="J59" s="215"/>
      <c r="K59" s="281"/>
      <c r="L59" s="281"/>
      <c r="M59" s="281"/>
      <c r="N59" s="281"/>
      <c r="O59" s="281"/>
      <c r="P59" s="281"/>
      <c r="Q59" s="281"/>
      <c r="R59" s="281"/>
      <c r="S59" s="281"/>
      <c r="T59" s="281"/>
      <c r="U59" s="215"/>
      <c r="V59" s="662"/>
      <c r="W59" s="388"/>
      <c r="X59" s="388"/>
      <c r="Y59" s="388"/>
      <c r="Z59" s="388"/>
      <c r="AA59" s="662"/>
      <c r="AB59" s="662"/>
      <c r="AC59" s="215"/>
      <c r="AD59" s="281"/>
      <c r="AE59" s="328"/>
      <c r="AF59" s="328"/>
      <c r="AG59" s="744"/>
      <c r="AH59" s="744"/>
      <c r="AI59" s="281"/>
      <c r="AJ59" s="621"/>
      <c r="AK59" s="422"/>
      <c r="AL59" s="536"/>
      <c r="AM59" s="536"/>
      <c r="AN59" s="536"/>
      <c r="AO59" s="281"/>
      <c r="AP59" s="388"/>
      <c r="AQ59" s="388"/>
      <c r="AR59" s="281"/>
      <c r="AS59" s="422"/>
      <c r="AT59" s="577"/>
      <c r="AU59" s="577"/>
      <c r="AV59" s="853"/>
      <c r="AW59" s="513"/>
      <c r="AY59" s="430"/>
      <c r="AZ59" s="430"/>
      <c r="BA59" s="430"/>
      <c r="BB59" s="536"/>
      <c r="BC59" s="536"/>
      <c r="BD59" s="430"/>
      <c r="BE59" s="430"/>
      <c r="BF59" s="536"/>
      <c r="BG59" s="536"/>
      <c r="BH59" s="430"/>
      <c r="BI59" s="536"/>
      <c r="BJ59" s="430"/>
      <c r="BK59" s="430"/>
    </row>
    <row r="60" spans="1:68">
      <c r="B60" s="1" t="s">
        <v>106</v>
      </c>
      <c r="E60" s="281"/>
      <c r="F60" s="281"/>
      <c r="G60" s="281"/>
      <c r="H60" s="281"/>
      <c r="I60" s="281"/>
      <c r="J60" s="215"/>
      <c r="K60" s="281"/>
      <c r="L60" s="281"/>
      <c r="M60" s="281"/>
      <c r="N60" s="281"/>
      <c r="O60" s="281"/>
      <c r="P60" s="281"/>
      <c r="Q60" s="281"/>
      <c r="R60" s="281"/>
      <c r="S60" s="281"/>
      <c r="T60" s="281"/>
      <c r="U60" s="215"/>
      <c r="V60" s="662"/>
      <c r="W60" s="388"/>
      <c r="X60" s="388"/>
      <c r="Y60" s="388"/>
      <c r="Z60" s="388"/>
      <c r="AA60" s="662"/>
      <c r="AB60" s="662"/>
      <c r="AC60" s="215"/>
      <c r="AD60" s="281"/>
      <c r="AE60" s="328"/>
      <c r="AF60" s="328"/>
      <c r="AG60" s="744"/>
      <c r="AH60" s="744"/>
      <c r="AI60" s="281"/>
      <c r="AJ60" s="621"/>
      <c r="AK60" s="422"/>
      <c r="AL60" s="536"/>
      <c r="AM60" s="536"/>
      <c r="AN60" s="536"/>
      <c r="AO60" s="281"/>
      <c r="AP60" s="388"/>
      <c r="AQ60" s="388"/>
      <c r="AR60" s="281"/>
      <c r="AS60" s="422"/>
      <c r="AT60" s="577"/>
      <c r="AU60" s="577"/>
      <c r="AV60" s="853"/>
      <c r="AY60" s="568"/>
      <c r="AZ60" s="544"/>
      <c r="BA60" s="430"/>
      <c r="BB60" s="536"/>
      <c r="BC60" s="536"/>
      <c r="BD60" s="430"/>
      <c r="BE60" s="430"/>
      <c r="BF60" s="536"/>
      <c r="BG60" s="536"/>
      <c r="BH60" s="430"/>
      <c r="BI60" s="536"/>
      <c r="BJ60" s="430"/>
      <c r="BK60" s="430"/>
      <c r="BM60" s="568"/>
      <c r="BN60" s="544"/>
    </row>
    <row r="61" spans="1:68">
      <c r="B61" s="1" t="s">
        <v>107</v>
      </c>
      <c r="E61" s="281"/>
      <c r="F61" s="458"/>
      <c r="G61" s="458"/>
      <c r="H61" s="458"/>
      <c r="I61" s="458"/>
      <c r="J61" s="660"/>
      <c r="K61" s="458"/>
      <c r="L61" s="458"/>
      <c r="M61" s="458"/>
      <c r="N61" s="458"/>
      <c r="O61" s="458"/>
      <c r="P61" s="458"/>
      <c r="Q61" s="458"/>
      <c r="R61" s="458"/>
      <c r="S61" s="458"/>
      <c r="T61" s="458"/>
      <c r="U61" s="660"/>
      <c r="V61" s="663"/>
      <c r="W61" s="465"/>
      <c r="X61" s="388"/>
      <c r="Y61" s="465"/>
      <c r="Z61" s="465"/>
      <c r="AA61" s="663"/>
      <c r="AB61" s="663"/>
      <c r="AC61" s="660"/>
      <c r="AD61" s="458"/>
      <c r="AE61" s="458"/>
      <c r="AF61" s="458"/>
      <c r="AG61" s="666"/>
      <c r="AH61" s="666"/>
      <c r="AI61" s="458"/>
      <c r="AJ61" s="619"/>
      <c r="AK61" s="422"/>
      <c r="AL61" s="389"/>
      <c r="AM61" s="389"/>
      <c r="AN61" s="389"/>
      <c r="AO61" s="458"/>
      <c r="AP61" s="465"/>
      <c r="AQ61" s="465"/>
      <c r="AR61" s="458"/>
      <c r="AS61" s="422"/>
      <c r="AT61" s="575"/>
      <c r="AU61" s="575"/>
      <c r="AV61" s="853"/>
      <c r="AY61" s="568"/>
      <c r="AZ61" s="544"/>
      <c r="BA61" s="430"/>
      <c r="BB61" s="389"/>
      <c r="BC61" s="389"/>
      <c r="BD61" s="877"/>
      <c r="BE61" s="877"/>
      <c r="BF61" s="389"/>
      <c r="BG61" s="389"/>
      <c r="BH61" s="430"/>
      <c r="BI61" s="389"/>
      <c r="BJ61" s="430"/>
      <c r="BK61" s="430"/>
      <c r="BM61" s="568"/>
      <c r="BN61" s="544"/>
    </row>
    <row r="62" spans="1:68" ht="12.5">
      <c r="A62" s="154">
        <v>32</v>
      </c>
      <c r="B62" s="4"/>
      <c r="C62" s="4" t="s">
        <v>44</v>
      </c>
      <c r="D62" s="4"/>
      <c r="E62" s="509">
        <f>'ROO INPUT'!$F63</f>
        <v>25622</v>
      </c>
      <c r="F62" s="457">
        <v>0</v>
      </c>
      <c r="G62" s="457">
        <v>0</v>
      </c>
      <c r="H62" s="457">
        <v>0</v>
      </c>
      <c r="I62" s="457">
        <v>0</v>
      </c>
      <c r="J62" s="659">
        <v>0</v>
      </c>
      <c r="K62" s="457">
        <v>0</v>
      </c>
      <c r="L62" s="457">
        <v>0</v>
      </c>
      <c r="M62" s="457">
        <v>0</v>
      </c>
      <c r="N62" s="457">
        <v>0</v>
      </c>
      <c r="O62" s="457">
        <v>0</v>
      </c>
      <c r="P62" s="457">
        <v>0</v>
      </c>
      <c r="Q62" s="457">
        <v>0</v>
      </c>
      <c r="R62" s="457">
        <v>0</v>
      </c>
      <c r="S62" s="457">
        <v>0</v>
      </c>
      <c r="T62" s="457">
        <v>0</v>
      </c>
      <c r="U62" s="659">
        <v>0</v>
      </c>
      <c r="V62" s="664">
        <v>0</v>
      </c>
      <c r="W62" s="466">
        <v>0</v>
      </c>
      <c r="X62" s="387">
        <f>SUM(E62:W62)</f>
        <v>25622</v>
      </c>
      <c r="Y62" s="466">
        <v>0</v>
      </c>
      <c r="Z62" s="466">
        <v>0</v>
      </c>
      <c r="AA62" s="664">
        <v>0</v>
      </c>
      <c r="AB62" s="664">
        <v>0</v>
      </c>
      <c r="AC62" s="659">
        <v>0</v>
      </c>
      <c r="AD62" s="457">
        <v>0</v>
      </c>
      <c r="AE62" s="457">
        <v>0</v>
      </c>
      <c r="AF62" s="457">
        <v>0</v>
      </c>
      <c r="AG62" s="743">
        <f>163-65</f>
        <v>98</v>
      </c>
      <c r="AH62" s="743">
        <v>0</v>
      </c>
      <c r="AI62" s="457">
        <v>0</v>
      </c>
      <c r="AJ62" s="618"/>
      <c r="AK62" s="421">
        <f>SUM(X62:AJ62)</f>
        <v>25720</v>
      </c>
      <c r="AL62" s="543">
        <v>0</v>
      </c>
      <c r="AM62" s="543">
        <v>0</v>
      </c>
      <c r="AN62" s="543">
        <v>0</v>
      </c>
      <c r="AO62" s="457">
        <v>0</v>
      </c>
      <c r="AP62" s="466">
        <v>0</v>
      </c>
      <c r="AQ62" s="466">
        <v>0</v>
      </c>
      <c r="AR62" s="457">
        <v>0</v>
      </c>
      <c r="AS62" s="421">
        <f>SUM(AK62:AR62)</f>
        <v>25720</v>
      </c>
      <c r="AT62" s="574"/>
      <c r="AU62" s="797">
        <v>-178.18392857142317</v>
      </c>
      <c r="AV62" s="853">
        <f>SUM(AS62:AU62)</f>
        <v>25541.816071428577</v>
      </c>
      <c r="AW62" s="568"/>
      <c r="AY62" s="544"/>
      <c r="AZ62" s="544"/>
      <c r="BA62" s="434"/>
      <c r="BB62" s="543"/>
      <c r="BC62" s="543"/>
      <c r="BD62" s="878"/>
      <c r="BE62" s="878"/>
      <c r="BF62" s="878"/>
      <c r="BG62" s="878"/>
      <c r="BH62" s="434"/>
      <c r="BI62" s="879"/>
      <c r="BJ62" s="434"/>
      <c r="BK62" s="434"/>
      <c r="BM62" s="544"/>
      <c r="BN62" s="544"/>
    </row>
    <row r="63" spans="1:68" ht="12.5">
      <c r="A63" s="154">
        <v>33</v>
      </c>
      <c r="B63" s="4"/>
      <c r="C63" s="4" t="s">
        <v>63</v>
      </c>
      <c r="D63" s="4"/>
      <c r="E63" s="281">
        <f>'ROO INPUT'!$F64</f>
        <v>354360</v>
      </c>
      <c r="F63" s="458">
        <v>0</v>
      </c>
      <c r="G63" s="458">
        <v>0</v>
      </c>
      <c r="H63" s="458">
        <v>0</v>
      </c>
      <c r="I63" s="458">
        <v>0</v>
      </c>
      <c r="J63" s="660">
        <v>0</v>
      </c>
      <c r="K63" s="458">
        <v>0</v>
      </c>
      <c r="L63" s="458">
        <v>0</v>
      </c>
      <c r="M63" s="458">
        <v>0</v>
      </c>
      <c r="N63" s="458">
        <v>0</v>
      </c>
      <c r="O63" s="458">
        <v>0</v>
      </c>
      <c r="P63" s="458">
        <v>0</v>
      </c>
      <c r="Q63" s="458">
        <v>0</v>
      </c>
      <c r="R63" s="458">
        <v>0</v>
      </c>
      <c r="S63" s="458">
        <v>0</v>
      </c>
      <c r="T63" s="458">
        <v>0</v>
      </c>
      <c r="U63" s="660">
        <v>0</v>
      </c>
      <c r="V63" s="663">
        <v>0</v>
      </c>
      <c r="W63" s="465">
        <v>0</v>
      </c>
      <c r="X63" s="388">
        <f>SUM(E63:W63)</f>
        <v>354360</v>
      </c>
      <c r="Y63" s="465">
        <v>0</v>
      </c>
      <c r="Z63" s="465">
        <v>0</v>
      </c>
      <c r="AA63" s="663">
        <v>0</v>
      </c>
      <c r="AB63" s="663">
        <v>0</v>
      </c>
      <c r="AC63" s="660">
        <v>0</v>
      </c>
      <c r="AD63" s="458">
        <v>0</v>
      </c>
      <c r="AE63" s="458">
        <v>0</v>
      </c>
      <c r="AF63" s="458">
        <v>0</v>
      </c>
      <c r="AG63" s="666">
        <f>5261+991</f>
        <v>6252</v>
      </c>
      <c r="AH63" s="666">
        <v>7155</v>
      </c>
      <c r="AI63" s="458">
        <v>0</v>
      </c>
      <c r="AJ63" s="619"/>
      <c r="AK63" s="422">
        <f>SUM(X63:AJ63)</f>
        <v>367767</v>
      </c>
      <c r="AL63" s="389">
        <v>0</v>
      </c>
      <c r="AM63" s="389">
        <v>0</v>
      </c>
      <c r="AN63" s="389">
        <v>0</v>
      </c>
      <c r="AO63" s="458">
        <v>0</v>
      </c>
      <c r="AP63" s="465">
        <v>0</v>
      </c>
      <c r="AQ63" s="465">
        <v>0</v>
      </c>
      <c r="AR63" s="458">
        <v>0</v>
      </c>
      <c r="AS63" s="422">
        <f>SUM(AK63:AR63)</f>
        <v>367767</v>
      </c>
      <c r="AT63" s="575"/>
      <c r="AU63" s="797">
        <v>43856.264123376575</v>
      </c>
      <c r="AV63" s="853">
        <f>SUM(AS63:AU63)</f>
        <v>411623.26412337658</v>
      </c>
      <c r="AW63" s="568"/>
      <c r="AY63" s="527"/>
      <c r="BA63" s="430"/>
      <c r="BB63" s="389"/>
      <c r="BC63" s="389"/>
      <c r="BD63" s="877"/>
      <c r="BE63" s="877"/>
      <c r="BF63" s="877"/>
      <c r="BG63" s="877"/>
      <c r="BH63" s="430"/>
      <c r="BI63" s="879"/>
      <c r="BJ63" s="430"/>
      <c r="BK63" s="430"/>
    </row>
    <row r="64" spans="1:68" ht="13">
      <c r="A64" s="960" t="s">
        <v>596</v>
      </c>
      <c r="B64" s="4"/>
      <c r="C64" s="4" t="s">
        <v>64</v>
      </c>
      <c r="D64" s="4"/>
      <c r="E64" s="283">
        <f>'ROO INPUT'!$F65</f>
        <v>69725</v>
      </c>
      <c r="F64" s="390">
        <v>0</v>
      </c>
      <c r="G64" s="390">
        <v>0</v>
      </c>
      <c r="H64" s="390">
        <v>0</v>
      </c>
      <c r="I64" s="390">
        <v>0</v>
      </c>
      <c r="J64" s="661">
        <v>0</v>
      </c>
      <c r="K64" s="390">
        <v>0</v>
      </c>
      <c r="L64" s="390">
        <v>0</v>
      </c>
      <c r="M64" s="390">
        <v>0</v>
      </c>
      <c r="N64" s="390">
        <v>0</v>
      </c>
      <c r="O64" s="390">
        <v>0</v>
      </c>
      <c r="P64" s="390">
        <v>0</v>
      </c>
      <c r="Q64" s="390">
        <v>0</v>
      </c>
      <c r="R64" s="390">
        <v>0</v>
      </c>
      <c r="S64" s="390">
        <v>0</v>
      </c>
      <c r="T64" s="390">
        <v>0</v>
      </c>
      <c r="U64" s="661">
        <v>0</v>
      </c>
      <c r="V64" s="665">
        <v>0</v>
      </c>
      <c r="W64" s="467">
        <v>0</v>
      </c>
      <c r="X64" s="391">
        <f>SUM(E64:W64)</f>
        <v>69725</v>
      </c>
      <c r="Y64" s="467">
        <v>0</v>
      </c>
      <c r="Z64" s="467">
        <v>0</v>
      </c>
      <c r="AA64" s="665">
        <v>0</v>
      </c>
      <c r="AB64" s="665">
        <v>0</v>
      </c>
      <c r="AC64" s="661">
        <v>0</v>
      </c>
      <c r="AD64" s="390">
        <v>0</v>
      </c>
      <c r="AE64" s="390">
        <v>0</v>
      </c>
      <c r="AF64" s="390">
        <v>0</v>
      </c>
      <c r="AG64" s="661">
        <f>4760-1312+1+2341</f>
        <v>5790</v>
      </c>
      <c r="AH64" s="661">
        <f>543+1233</f>
        <v>1776</v>
      </c>
      <c r="AI64" s="390">
        <v>0</v>
      </c>
      <c r="AJ64" s="620"/>
      <c r="AK64" s="423">
        <f>SUM(X64:AJ64)</f>
        <v>77291</v>
      </c>
      <c r="AL64" s="390">
        <v>0</v>
      </c>
      <c r="AM64" s="390">
        <v>0</v>
      </c>
      <c r="AN64" s="390">
        <v>0</v>
      </c>
      <c r="AO64" s="390">
        <v>0</v>
      </c>
      <c r="AP64" s="467">
        <v>0</v>
      </c>
      <c r="AQ64" s="467">
        <v>0</v>
      </c>
      <c r="AR64" s="390">
        <v>0</v>
      </c>
      <c r="AS64" s="423">
        <f>SUM(AK64:AR64)</f>
        <v>77291</v>
      </c>
      <c r="AT64" s="576"/>
      <c r="AU64" s="798">
        <v>12485.112500000003</v>
      </c>
      <c r="AV64" s="517">
        <f>SUM(AS64:AU64)</f>
        <v>89776.112500000003</v>
      </c>
      <c r="AW64" s="568"/>
      <c r="AY64" s="844"/>
      <c r="AZ64" s="844"/>
      <c r="BA64" s="430"/>
      <c r="BB64" s="389"/>
      <c r="BC64" s="389"/>
      <c r="BD64" s="877"/>
      <c r="BE64" s="877"/>
      <c r="BF64" s="877"/>
      <c r="BG64" s="877"/>
      <c r="BH64" s="430"/>
      <c r="BI64" s="879"/>
      <c r="BJ64" s="430"/>
      <c r="BK64" s="430"/>
      <c r="BM64" s="844"/>
      <c r="BN64" s="845"/>
    </row>
    <row r="65" spans="1:68" ht="18" customHeight="1">
      <c r="A65" s="154">
        <v>35</v>
      </c>
      <c r="B65" s="4" t="s">
        <v>65</v>
      </c>
      <c r="C65" s="4"/>
      <c r="E65" s="281">
        <f>SUM(E62:E64)</f>
        <v>449707</v>
      </c>
      <c r="F65" s="281">
        <f t="shared" ref="F65:N65" si="102">SUM(F62:F64)</f>
        <v>0</v>
      </c>
      <c r="G65" s="281">
        <f t="shared" si="102"/>
        <v>0</v>
      </c>
      <c r="H65" s="281">
        <f t="shared" si="102"/>
        <v>0</v>
      </c>
      <c r="I65" s="281">
        <f t="shared" si="102"/>
        <v>0</v>
      </c>
      <c r="J65" s="215">
        <f>SUM(J62:J64)</f>
        <v>0</v>
      </c>
      <c r="K65" s="281">
        <f t="shared" si="102"/>
        <v>0</v>
      </c>
      <c r="L65" s="281">
        <f t="shared" si="102"/>
        <v>0</v>
      </c>
      <c r="M65" s="281">
        <f t="shared" si="102"/>
        <v>0</v>
      </c>
      <c r="N65" s="281">
        <f t="shared" si="102"/>
        <v>0</v>
      </c>
      <c r="O65" s="281">
        <f t="shared" ref="O65:X65" si="103">SUM(O62:O64)</f>
        <v>0</v>
      </c>
      <c r="P65" s="281">
        <f t="shared" si="103"/>
        <v>0</v>
      </c>
      <c r="Q65" s="281">
        <f>SUM(Q62:Q64)</f>
        <v>0</v>
      </c>
      <c r="R65" s="281">
        <f>SUM(R62:R64)</f>
        <v>0</v>
      </c>
      <c r="S65" s="281">
        <f>SUM(S62:S64)</f>
        <v>0</v>
      </c>
      <c r="T65" s="281">
        <f>SUM(T62:T64)</f>
        <v>0</v>
      </c>
      <c r="U65" s="215">
        <f t="shared" ref="U65" si="104">SUM(U62:U64)</f>
        <v>0</v>
      </c>
      <c r="V65" s="215">
        <f>SUM(V62:V64)</f>
        <v>0</v>
      </c>
      <c r="W65" s="281">
        <f>SUM(W62:W64)</f>
        <v>0</v>
      </c>
      <c r="X65" s="388">
        <f t="shared" si="103"/>
        <v>449707</v>
      </c>
      <c r="Y65" s="281">
        <f t="shared" ref="Y65:AA65" si="105">SUM(Y62:Y64)</f>
        <v>0</v>
      </c>
      <c r="Z65" s="281">
        <f t="shared" si="105"/>
        <v>0</v>
      </c>
      <c r="AA65" s="215">
        <f t="shared" si="105"/>
        <v>0</v>
      </c>
      <c r="AB65" s="215">
        <f>SUM(AB62:AB64)</f>
        <v>0</v>
      </c>
      <c r="AC65" s="215">
        <f t="shared" ref="AC65" si="106">SUM(AC62:AC64)</f>
        <v>0</v>
      </c>
      <c r="AD65" s="281">
        <f>SUM(AD62:AD64)</f>
        <v>0</v>
      </c>
      <c r="AE65" s="328">
        <f t="shared" ref="AE65" si="107">SUM(AE62:AE64)</f>
        <v>0</v>
      </c>
      <c r="AF65" s="328">
        <f>SUM(AF62:AF64)</f>
        <v>0</v>
      </c>
      <c r="AG65" s="744">
        <f>SUM(AG62:AG64)</f>
        <v>12140</v>
      </c>
      <c r="AH65" s="744">
        <f>SUM(AH62:AH64)</f>
        <v>8931</v>
      </c>
      <c r="AI65" s="281">
        <f>SUM(AI62:AI64)</f>
        <v>0</v>
      </c>
      <c r="AJ65" s="621"/>
      <c r="AK65" s="422">
        <f>SUM(AK62:AK64)</f>
        <v>470778</v>
      </c>
      <c r="AL65" s="536">
        <f t="shared" ref="AL65" si="108">SUM(AL62:AL64)</f>
        <v>0</v>
      </c>
      <c r="AM65" s="536">
        <f t="shared" ref="AM65:AO65" si="109">SUM(AM62:AM64)</f>
        <v>0</v>
      </c>
      <c r="AN65" s="536">
        <f>SUM(AN62:AN64)</f>
        <v>0</v>
      </c>
      <c r="AO65" s="281">
        <f t="shared" si="109"/>
        <v>0</v>
      </c>
      <c r="AP65" s="281">
        <f t="shared" ref="AP65:AR65" si="110">SUM(AP62:AP64)</f>
        <v>0</v>
      </c>
      <c r="AQ65" s="281">
        <f>SUM(AQ62:AQ64)</f>
        <v>0</v>
      </c>
      <c r="AR65" s="281">
        <f t="shared" si="110"/>
        <v>0</v>
      </c>
      <c r="AS65" s="422">
        <f>SUM(AS62:AS64)</f>
        <v>470778</v>
      </c>
      <c r="AT65" s="577">
        <f t="shared" ref="AT65" si="111">SUM(AT62:AT64)</f>
        <v>0</v>
      </c>
      <c r="AU65" s="577">
        <f t="shared" ref="AU65" si="112">SUM(AU62:AU64)</f>
        <v>56163.192694805155</v>
      </c>
      <c r="AV65" s="853">
        <f t="shared" ref="AV65" si="113">SUM(AV62:AV64)</f>
        <v>526941.19269480521</v>
      </c>
      <c r="AW65" s="568"/>
      <c r="AY65" s="880"/>
      <c r="AZ65" s="544"/>
      <c r="BA65" s="430"/>
      <c r="BB65" s="536"/>
      <c r="BC65" s="536"/>
      <c r="BD65" s="536"/>
      <c r="BE65" s="536"/>
      <c r="BF65" s="536"/>
      <c r="BG65" s="536"/>
      <c r="BH65" s="430"/>
      <c r="BI65" s="536"/>
      <c r="BJ65" s="430"/>
      <c r="BK65" s="430"/>
      <c r="BM65" s="880"/>
      <c r="BN65" s="544"/>
    </row>
    <row r="66" spans="1:68" ht="3.75" customHeight="1">
      <c r="B66" s="4"/>
      <c r="C66" s="4"/>
      <c r="E66" s="281"/>
      <c r="F66" s="281"/>
      <c r="G66" s="281"/>
      <c r="H66" s="281"/>
      <c r="I66" s="281"/>
      <c r="J66" s="215"/>
      <c r="K66" s="281"/>
      <c r="L66" s="281"/>
      <c r="M66" s="281"/>
      <c r="N66" s="281"/>
      <c r="O66" s="281"/>
      <c r="P66" s="281"/>
      <c r="Q66" s="281"/>
      <c r="R66" s="281"/>
      <c r="S66" s="281"/>
      <c r="T66" s="281"/>
      <c r="U66" s="215"/>
      <c r="V66" s="215"/>
      <c r="W66" s="281"/>
      <c r="X66" s="388"/>
      <c r="Y66" s="281"/>
      <c r="Z66" s="281"/>
      <c r="AA66" s="215"/>
      <c r="AB66" s="215"/>
      <c r="AC66" s="215"/>
      <c r="AD66" s="281"/>
      <c r="AE66" s="328"/>
      <c r="AF66" s="328"/>
      <c r="AG66" s="744"/>
      <c r="AH66" s="744"/>
      <c r="AI66" s="281"/>
      <c r="AJ66" s="621"/>
      <c r="AK66" s="422"/>
      <c r="AL66" s="536"/>
      <c r="AM66" s="536"/>
      <c r="AN66" s="536"/>
      <c r="AO66" s="281"/>
      <c r="AP66" s="281"/>
      <c r="AQ66" s="281"/>
      <c r="AR66" s="281"/>
      <c r="AS66" s="422"/>
      <c r="AT66" s="577"/>
      <c r="AU66" s="577"/>
      <c r="AV66" s="853"/>
      <c r="AW66" s="568"/>
      <c r="AX66" s="527"/>
      <c r="AY66" s="527"/>
      <c r="BA66" s="430"/>
      <c r="BB66" s="536"/>
      <c r="BC66" s="536"/>
      <c r="BD66" s="536"/>
      <c r="BE66" s="536"/>
      <c r="BF66" s="536"/>
      <c r="BG66" s="536"/>
      <c r="BH66" s="430"/>
      <c r="BI66" s="536"/>
      <c r="BJ66" s="430"/>
      <c r="BK66" s="430"/>
    </row>
    <row r="67" spans="1:68">
      <c r="B67" s="4" t="s">
        <v>210</v>
      </c>
      <c r="C67" s="4"/>
      <c r="D67" s="4"/>
      <c r="E67" s="281"/>
      <c r="F67" s="458"/>
      <c r="G67" s="458"/>
      <c r="H67" s="458"/>
      <c r="I67" s="458"/>
      <c r="J67" s="660"/>
      <c r="K67" s="458"/>
      <c r="L67" s="458"/>
      <c r="M67" s="458"/>
      <c r="N67" s="458"/>
      <c r="O67" s="458"/>
      <c r="P67" s="458"/>
      <c r="Q67" s="458"/>
      <c r="R67" s="458"/>
      <c r="S67" s="458"/>
      <c r="T67" s="458"/>
      <c r="U67" s="660"/>
      <c r="V67" s="660"/>
      <c r="W67" s="458"/>
      <c r="X67" s="388"/>
      <c r="Y67" s="458"/>
      <c r="Z67" s="458"/>
      <c r="AA67" s="660"/>
      <c r="AB67" s="660"/>
      <c r="AC67" s="660"/>
      <c r="AD67" s="458"/>
      <c r="AE67" s="458"/>
      <c r="AF67" s="458"/>
      <c r="AG67" s="666"/>
      <c r="AH67" s="666"/>
      <c r="AI67" s="458"/>
      <c r="AJ67" s="619"/>
      <c r="AK67" s="422"/>
      <c r="AL67" s="389"/>
      <c r="AM67" s="389"/>
      <c r="AN67" s="389"/>
      <c r="AO67" s="458"/>
      <c r="AP67" s="458"/>
      <c r="AQ67" s="458"/>
      <c r="AR67" s="458"/>
      <c r="AS67" s="422"/>
      <c r="AT67" s="575"/>
      <c r="AU67" s="575"/>
      <c r="AV67" s="853"/>
      <c r="AW67" s="513"/>
      <c r="AX67" s="430"/>
      <c r="AY67" s="430"/>
      <c r="BA67" s="430"/>
      <c r="BB67" s="389"/>
      <c r="BC67" s="389"/>
      <c r="BD67" s="389"/>
      <c r="BE67" s="389"/>
      <c r="BF67" s="389"/>
      <c r="BG67" s="389"/>
      <c r="BH67" s="430"/>
      <c r="BI67" s="389"/>
      <c r="BJ67" s="430"/>
      <c r="BK67" s="430"/>
    </row>
    <row r="68" spans="1:68">
      <c r="A68" s="154">
        <v>36</v>
      </c>
      <c r="B68" s="4"/>
      <c r="C68" s="4" t="s">
        <v>44</v>
      </c>
      <c r="D68" s="4"/>
      <c r="E68" s="281">
        <f>'ROO INPUT'!$F69</f>
        <v>-9824</v>
      </c>
      <c r="F68" s="458">
        <v>0</v>
      </c>
      <c r="G68" s="458">
        <v>0</v>
      </c>
      <c r="H68" s="458">
        <v>0</v>
      </c>
      <c r="I68" s="458">
        <v>0</v>
      </c>
      <c r="J68" s="660">
        <v>0</v>
      </c>
      <c r="K68" s="458">
        <v>0</v>
      </c>
      <c r="L68" s="458">
        <v>0</v>
      </c>
      <c r="M68" s="458">
        <v>0</v>
      </c>
      <c r="N68" s="458">
        <v>0</v>
      </c>
      <c r="O68" s="458">
        <v>0</v>
      </c>
      <c r="P68" s="458">
        <v>0</v>
      </c>
      <c r="Q68" s="458">
        <v>0</v>
      </c>
      <c r="R68" s="458">
        <v>0</v>
      </c>
      <c r="S68" s="458">
        <v>0</v>
      </c>
      <c r="T68" s="458">
        <v>0</v>
      </c>
      <c r="U68" s="660">
        <v>0</v>
      </c>
      <c r="V68" s="660">
        <v>0</v>
      </c>
      <c r="W68" s="458">
        <v>0</v>
      </c>
      <c r="X68" s="388">
        <f>SUM(E68:W68)</f>
        <v>-9824</v>
      </c>
      <c r="Y68" s="458">
        <v>0</v>
      </c>
      <c r="Z68" s="458">
        <v>0</v>
      </c>
      <c r="AA68" s="660">
        <v>0</v>
      </c>
      <c r="AB68" s="660">
        <v>0</v>
      </c>
      <c r="AC68" s="660">
        <v>0</v>
      </c>
      <c r="AD68" s="458">
        <v>0</v>
      </c>
      <c r="AE68" s="458">
        <v>0</v>
      </c>
      <c r="AF68" s="458">
        <v>0</v>
      </c>
      <c r="AG68" s="747">
        <f>-103+21</f>
        <v>-82</v>
      </c>
      <c r="AH68" s="747">
        <v>0</v>
      </c>
      <c r="AI68" s="458">
        <v>0</v>
      </c>
      <c r="AJ68" s="624"/>
      <c r="AK68" s="422">
        <f>SUM(X68:AJ68)</f>
        <v>-9906</v>
      </c>
      <c r="AL68" s="781">
        <v>0</v>
      </c>
      <c r="AM68" s="781">
        <v>0</v>
      </c>
      <c r="AN68" s="781">
        <v>0</v>
      </c>
      <c r="AO68" s="781">
        <v>0</v>
      </c>
      <c r="AP68" s="458">
        <v>0</v>
      </c>
      <c r="AQ68" s="458">
        <v>0</v>
      </c>
      <c r="AR68" s="458">
        <v>0</v>
      </c>
      <c r="AS68" s="422">
        <f>SUM(AK68:AR68)</f>
        <v>-9906</v>
      </c>
      <c r="AT68" s="580"/>
      <c r="AU68" s="580">
        <v>-1146.2586038961053</v>
      </c>
      <c r="AV68" s="853">
        <f>SUM(AS68:AU68)</f>
        <v>-11052.258603896105</v>
      </c>
      <c r="AW68" s="513"/>
      <c r="AX68" s="430"/>
      <c r="AY68" s="430"/>
      <c r="BA68" s="430"/>
      <c r="BB68" s="544"/>
      <c r="BC68" s="544"/>
      <c r="BD68" s="389"/>
      <c r="BE68" s="389"/>
      <c r="BF68" s="389"/>
      <c r="BG68" s="389"/>
      <c r="BH68" s="430"/>
      <c r="BI68" s="544"/>
      <c r="BJ68" s="430"/>
      <c r="BK68" s="430"/>
    </row>
    <row r="69" spans="1:68">
      <c r="A69" s="154">
        <v>37</v>
      </c>
      <c r="B69" s="4"/>
      <c r="C69" s="4" t="s">
        <v>63</v>
      </c>
      <c r="D69" s="4"/>
      <c r="E69" s="281">
        <f>'ROO INPUT'!$F70</f>
        <v>-119790</v>
      </c>
      <c r="F69" s="458">
        <v>0</v>
      </c>
      <c r="G69" s="458">
        <v>0</v>
      </c>
      <c r="H69" s="458">
        <v>0</v>
      </c>
      <c r="I69" s="458">
        <v>0</v>
      </c>
      <c r="J69" s="660">
        <v>0</v>
      </c>
      <c r="K69" s="458">
        <v>0</v>
      </c>
      <c r="L69" s="458">
        <v>0</v>
      </c>
      <c r="M69" s="458">
        <v>0</v>
      </c>
      <c r="N69" s="458">
        <v>0</v>
      </c>
      <c r="O69" s="458">
        <v>0</v>
      </c>
      <c r="P69" s="458">
        <v>0</v>
      </c>
      <c r="Q69" s="458">
        <v>0</v>
      </c>
      <c r="R69" s="458">
        <v>0</v>
      </c>
      <c r="S69" s="458">
        <v>0</v>
      </c>
      <c r="T69" s="458">
        <v>0</v>
      </c>
      <c r="U69" s="660">
        <v>0</v>
      </c>
      <c r="V69" s="660">
        <v>0</v>
      </c>
      <c r="W69" s="458">
        <v>0</v>
      </c>
      <c r="X69" s="388">
        <f>SUM(E69:W69)</f>
        <v>-119790</v>
      </c>
      <c r="Y69" s="458">
        <v>0</v>
      </c>
      <c r="Z69" s="458">
        <v>0</v>
      </c>
      <c r="AA69" s="660">
        <v>0</v>
      </c>
      <c r="AB69" s="660">
        <v>0</v>
      </c>
      <c r="AC69" s="660">
        <v>0</v>
      </c>
      <c r="AD69" s="458">
        <v>0</v>
      </c>
      <c r="AE69" s="458">
        <v>0</v>
      </c>
      <c r="AF69" s="458">
        <v>0</v>
      </c>
      <c r="AG69" s="666">
        <f>-1320-514</f>
        <v>-1834</v>
      </c>
      <c r="AH69" s="666">
        <v>-123</v>
      </c>
      <c r="AI69" s="458">
        <v>0</v>
      </c>
      <c r="AJ69" s="619"/>
      <c r="AK69" s="422">
        <f>SUM(X69:AJ69)</f>
        <v>-121747</v>
      </c>
      <c r="AL69" s="781">
        <v>0</v>
      </c>
      <c r="AM69" s="781">
        <v>0</v>
      </c>
      <c r="AN69" s="781">
        <v>0</v>
      </c>
      <c r="AO69" s="781">
        <v>0</v>
      </c>
      <c r="AP69" s="458">
        <v>0</v>
      </c>
      <c r="AQ69" s="458">
        <v>0</v>
      </c>
      <c r="AR69" s="458">
        <v>0</v>
      </c>
      <c r="AS69" s="422">
        <f>SUM(AK69:AR69)</f>
        <v>-121747</v>
      </c>
      <c r="AT69" s="580"/>
      <c r="AU69" s="580">
        <v>-16457.856168831175</v>
      </c>
      <c r="AV69" s="853">
        <f>SUM(AS69:AU69)</f>
        <v>-138204.85616883117</v>
      </c>
      <c r="AW69" s="513"/>
      <c r="AX69" s="430"/>
      <c r="AY69" s="430"/>
      <c r="BA69" s="430"/>
      <c r="BB69" s="389"/>
      <c r="BC69" s="389"/>
      <c r="BD69" s="389"/>
      <c r="BE69" s="389"/>
      <c r="BF69" s="389"/>
      <c r="BG69" s="389"/>
      <c r="BH69" s="430"/>
      <c r="BI69" s="544"/>
      <c r="BJ69" s="430"/>
      <c r="BK69" s="430"/>
    </row>
    <row r="70" spans="1:68">
      <c r="A70" s="154">
        <v>38</v>
      </c>
      <c r="B70" s="4"/>
      <c r="C70" s="4" t="s">
        <v>64</v>
      </c>
      <c r="D70" s="4"/>
      <c r="E70" s="281">
        <f>'ROO INPUT'!$F71</f>
        <v>-19460</v>
      </c>
      <c r="F70" s="458">
        <v>0</v>
      </c>
      <c r="G70" s="458">
        <v>0</v>
      </c>
      <c r="H70" s="458">
        <v>0</v>
      </c>
      <c r="I70" s="458">
        <v>0</v>
      </c>
      <c r="J70" s="660">
        <v>0</v>
      </c>
      <c r="K70" s="458">
        <v>0</v>
      </c>
      <c r="L70" s="458">
        <v>0</v>
      </c>
      <c r="M70" s="458">
        <v>0</v>
      </c>
      <c r="N70" s="458">
        <v>0</v>
      </c>
      <c r="O70" s="458">
        <v>0</v>
      </c>
      <c r="P70" s="458">
        <v>0</v>
      </c>
      <c r="Q70" s="458">
        <v>0</v>
      </c>
      <c r="R70" s="458">
        <v>0</v>
      </c>
      <c r="S70" s="458">
        <v>0</v>
      </c>
      <c r="T70" s="458">
        <v>0</v>
      </c>
      <c r="U70" s="660">
        <v>0</v>
      </c>
      <c r="V70" s="660">
        <v>0</v>
      </c>
      <c r="W70" s="458">
        <v>0</v>
      </c>
      <c r="X70" s="388">
        <f>SUM(E70:W70)</f>
        <v>-19460</v>
      </c>
      <c r="Y70" s="458">
        <v>0</v>
      </c>
      <c r="Z70" s="458">
        <v>0</v>
      </c>
      <c r="AA70" s="660">
        <v>0</v>
      </c>
      <c r="AB70" s="660">
        <v>0</v>
      </c>
      <c r="AC70" s="660">
        <v>0</v>
      </c>
      <c r="AD70" s="458">
        <v>0</v>
      </c>
      <c r="AE70" s="458">
        <v>0</v>
      </c>
      <c r="AF70" s="458">
        <v>0</v>
      </c>
      <c r="AG70" s="661">
        <f>930-318-1892</f>
        <v>-1280</v>
      </c>
      <c r="AH70" s="661">
        <f>-32-90</f>
        <v>-122</v>
      </c>
      <c r="AI70" s="458">
        <v>0</v>
      </c>
      <c r="AJ70" s="620"/>
      <c r="AK70" s="520">
        <f>SUM(X70:AJ70)</f>
        <v>-20862</v>
      </c>
      <c r="AL70" s="330">
        <v>0</v>
      </c>
      <c r="AM70" s="330">
        <v>0</v>
      </c>
      <c r="AN70" s="781">
        <v>0</v>
      </c>
      <c r="AO70" s="781">
        <v>0</v>
      </c>
      <c r="AP70" s="458">
        <v>0</v>
      </c>
      <c r="AQ70" s="458">
        <v>0</v>
      </c>
      <c r="AR70" s="458">
        <v>0</v>
      </c>
      <c r="AS70" s="422">
        <f>SUM(AK70:AR70)</f>
        <v>-20862</v>
      </c>
      <c r="AT70" s="581"/>
      <c r="AU70" s="581">
        <v>-3438.7999999999993</v>
      </c>
      <c r="AV70" s="853">
        <f>SUM(AS70:AU70)</f>
        <v>-24300.799999999999</v>
      </c>
      <c r="AW70" s="513"/>
      <c r="AX70" s="430"/>
      <c r="AY70" s="430"/>
      <c r="BA70" s="430"/>
      <c r="BB70" s="389"/>
      <c r="BC70" s="389"/>
      <c r="BD70" s="389"/>
      <c r="BE70" s="389"/>
      <c r="BF70" s="389"/>
      <c r="BG70" s="389"/>
      <c r="BH70" s="430"/>
      <c r="BI70" s="544"/>
      <c r="BJ70" s="430"/>
      <c r="BK70" s="430"/>
    </row>
    <row r="71" spans="1:68">
      <c r="A71" s="154">
        <v>39</v>
      </c>
      <c r="B71" s="4" t="s">
        <v>429</v>
      </c>
      <c r="C71" s="4"/>
      <c r="E71" s="287">
        <f>SUM(E68:E70)</f>
        <v>-149074</v>
      </c>
      <c r="F71" s="287">
        <f t="shared" ref="F71:N71" si="114">SUM(F68:F70)</f>
        <v>0</v>
      </c>
      <c r="G71" s="287">
        <f t="shared" si="114"/>
        <v>0</v>
      </c>
      <c r="H71" s="287">
        <f t="shared" si="114"/>
        <v>0</v>
      </c>
      <c r="I71" s="287">
        <f t="shared" si="114"/>
        <v>0</v>
      </c>
      <c r="J71" s="218">
        <f>SUM(J68:J70)</f>
        <v>0</v>
      </c>
      <c r="K71" s="287">
        <f t="shared" si="114"/>
        <v>0</v>
      </c>
      <c r="L71" s="287">
        <f t="shared" si="114"/>
        <v>0</v>
      </c>
      <c r="M71" s="287">
        <f t="shared" si="114"/>
        <v>0</v>
      </c>
      <c r="N71" s="287">
        <f t="shared" si="114"/>
        <v>0</v>
      </c>
      <c r="O71" s="287">
        <f t="shared" ref="O71:P71" si="115">SUM(O68:O70)</f>
        <v>0</v>
      </c>
      <c r="P71" s="287">
        <f t="shared" si="115"/>
        <v>0</v>
      </c>
      <c r="Q71" s="287">
        <f>SUM(Q68:Q70)</f>
        <v>0</v>
      </c>
      <c r="R71" s="287">
        <f>SUM(R68:R70)</f>
        <v>0</v>
      </c>
      <c r="S71" s="287">
        <f>SUM(S68:S70)</f>
        <v>0</v>
      </c>
      <c r="T71" s="287">
        <f>SUM(T68:T70)</f>
        <v>0</v>
      </c>
      <c r="U71" s="218">
        <f>SUM(U68:U70)</f>
        <v>0</v>
      </c>
      <c r="V71" s="218">
        <f t="shared" ref="V71:W71" si="116">SUM(V68:V70)</f>
        <v>0</v>
      </c>
      <c r="W71" s="287">
        <f t="shared" si="116"/>
        <v>0</v>
      </c>
      <c r="X71" s="394">
        <f t="shared" ref="X71:Z71" si="117">SUM(X68:X70)</f>
        <v>-149074</v>
      </c>
      <c r="Y71" s="287">
        <f t="shared" si="117"/>
        <v>0</v>
      </c>
      <c r="Z71" s="287">
        <f t="shared" si="117"/>
        <v>0</v>
      </c>
      <c r="AA71" s="218">
        <f t="shared" ref="AA71" si="118">SUM(AA68:AA70)</f>
        <v>0</v>
      </c>
      <c r="AB71" s="218">
        <f>SUM(AB68:AB70)</f>
        <v>0</v>
      </c>
      <c r="AC71" s="218">
        <f t="shared" ref="AC71:AL71" si="119">SUM(AC68:AC70)</f>
        <v>0</v>
      </c>
      <c r="AD71" s="287">
        <f>SUM(AD68:AD70)</f>
        <v>0</v>
      </c>
      <c r="AE71" s="535">
        <f t="shared" ref="AE71" si="120">SUM(AE68:AE70)</f>
        <v>0</v>
      </c>
      <c r="AF71" s="535">
        <f t="shared" ref="AF71:AI71" si="121">SUM(AF68:AF70)</f>
        <v>0</v>
      </c>
      <c r="AG71" s="748">
        <f t="shared" si="121"/>
        <v>-3196</v>
      </c>
      <c r="AH71" s="748">
        <f t="shared" si="121"/>
        <v>-245</v>
      </c>
      <c r="AI71" s="287">
        <f t="shared" si="121"/>
        <v>0</v>
      </c>
      <c r="AJ71" s="625"/>
      <c r="AK71" s="425">
        <f>SUM(AJ68:AK70)</f>
        <v>-152515</v>
      </c>
      <c r="AL71" s="285">
        <f t="shared" si="119"/>
        <v>0</v>
      </c>
      <c r="AM71" s="285">
        <f t="shared" ref="AM71:AS71" si="122">SUM(AM68:AM70)</f>
        <v>0</v>
      </c>
      <c r="AN71" s="535">
        <f>SUM(AN68:AN70)</f>
        <v>0</v>
      </c>
      <c r="AO71" s="287">
        <f t="shared" si="122"/>
        <v>0</v>
      </c>
      <c r="AP71" s="287">
        <f t="shared" ref="AP71:AR71" si="123">SUM(AP68:AP70)</f>
        <v>0</v>
      </c>
      <c r="AQ71" s="287">
        <f>SUM(AQ68:AQ70)</f>
        <v>0</v>
      </c>
      <c r="AR71" s="287">
        <f t="shared" si="123"/>
        <v>0</v>
      </c>
      <c r="AS71" s="425">
        <f t="shared" si="122"/>
        <v>-152515</v>
      </c>
      <c r="AT71" s="582">
        <f t="shared" ref="AT71:AU71" si="124">SUM(AT68:AT70)</f>
        <v>0</v>
      </c>
      <c r="AU71" s="582">
        <f t="shared" si="124"/>
        <v>-21042.914772727279</v>
      </c>
      <c r="AV71" s="858">
        <f t="shared" ref="AV71" si="125">SUM(AV68:AV70)</f>
        <v>-173557.91477272726</v>
      </c>
      <c r="AW71" s="513"/>
      <c r="AX71" s="430"/>
      <c r="AY71" s="430"/>
      <c r="BA71" s="430"/>
      <c r="BB71" s="536"/>
      <c r="BC71" s="536"/>
      <c r="BD71" s="536"/>
      <c r="BE71" s="536"/>
      <c r="BF71" s="536"/>
      <c r="BG71" s="536"/>
      <c r="BH71" s="430"/>
      <c r="BI71" s="536"/>
      <c r="BJ71" s="430"/>
      <c r="BK71" s="430"/>
    </row>
    <row r="72" spans="1:68">
      <c r="A72" s="154">
        <v>40</v>
      </c>
      <c r="B72" s="4" t="s">
        <v>179</v>
      </c>
      <c r="C72" s="4"/>
      <c r="D72" s="4"/>
      <c r="E72" s="290">
        <f>E65+E71</f>
        <v>300633</v>
      </c>
      <c r="F72" s="290">
        <f t="shared" ref="F72:AV72" si="126">F65+F71</f>
        <v>0</v>
      </c>
      <c r="G72" s="290">
        <f t="shared" si="126"/>
        <v>0</v>
      </c>
      <c r="H72" s="290">
        <f t="shared" si="126"/>
        <v>0</v>
      </c>
      <c r="I72" s="290">
        <f t="shared" si="126"/>
        <v>0</v>
      </c>
      <c r="J72" s="219">
        <f t="shared" si="126"/>
        <v>0</v>
      </c>
      <c r="K72" s="290">
        <f t="shared" si="126"/>
        <v>0</v>
      </c>
      <c r="L72" s="290">
        <f t="shared" si="126"/>
        <v>0</v>
      </c>
      <c r="M72" s="290">
        <f t="shared" si="126"/>
        <v>0</v>
      </c>
      <c r="N72" s="290">
        <f t="shared" si="126"/>
        <v>0</v>
      </c>
      <c r="O72" s="290">
        <f t="shared" si="126"/>
        <v>0</v>
      </c>
      <c r="P72" s="290">
        <f t="shared" si="126"/>
        <v>0</v>
      </c>
      <c r="Q72" s="290">
        <f t="shared" si="126"/>
        <v>0</v>
      </c>
      <c r="R72" s="290">
        <f t="shared" si="126"/>
        <v>0</v>
      </c>
      <c r="S72" s="290">
        <f t="shared" ref="S72" si="127">S65+S71</f>
        <v>0</v>
      </c>
      <c r="T72" s="290">
        <f>T65+T71</f>
        <v>0</v>
      </c>
      <c r="U72" s="219">
        <f>U65+U71</f>
        <v>0</v>
      </c>
      <c r="V72" s="219">
        <f t="shared" si="126"/>
        <v>0</v>
      </c>
      <c r="W72" s="290">
        <f t="shared" si="126"/>
        <v>0</v>
      </c>
      <c r="X72" s="395">
        <f t="shared" si="126"/>
        <v>300633</v>
      </c>
      <c r="Y72" s="290">
        <f t="shared" si="126"/>
        <v>0</v>
      </c>
      <c r="Z72" s="290">
        <f t="shared" si="126"/>
        <v>0</v>
      </c>
      <c r="AA72" s="219">
        <f t="shared" si="126"/>
        <v>0</v>
      </c>
      <c r="AB72" s="219">
        <f>AB65+AB71</f>
        <v>0</v>
      </c>
      <c r="AC72" s="219">
        <f t="shared" ref="AC72" si="128">AC65+AC71</f>
        <v>0</v>
      </c>
      <c r="AD72" s="290">
        <f t="shared" ref="AD72" si="129">AD65+AD71</f>
        <v>0</v>
      </c>
      <c r="AE72" s="536">
        <f t="shared" ref="AE72" si="130">AE65+AE71</f>
        <v>0</v>
      </c>
      <c r="AF72" s="536">
        <f>AF65+AF71</f>
        <v>0</v>
      </c>
      <c r="AG72" s="219">
        <f>AG65+AG71</f>
        <v>8944</v>
      </c>
      <c r="AH72" s="219">
        <f>AH65+AH71</f>
        <v>8686</v>
      </c>
      <c r="AI72" s="290">
        <f>AI65+AI71</f>
        <v>0</v>
      </c>
      <c r="AJ72" s="626"/>
      <c r="AK72" s="422">
        <f>AK65+AK71</f>
        <v>318263</v>
      </c>
      <c r="AL72" s="290">
        <f t="shared" si="126"/>
        <v>0</v>
      </c>
      <c r="AM72" s="290">
        <f t="shared" si="126"/>
        <v>0</v>
      </c>
      <c r="AN72" s="290">
        <f>AN65+AN71</f>
        <v>0</v>
      </c>
      <c r="AO72" s="290">
        <f t="shared" ref="AO72:AR72" si="131">AO65+AO71</f>
        <v>0</v>
      </c>
      <c r="AP72" s="290">
        <f>AP65+AP71</f>
        <v>0</v>
      </c>
      <c r="AQ72" s="290">
        <f>AQ65+AQ71</f>
        <v>0</v>
      </c>
      <c r="AR72" s="290">
        <f t="shared" si="131"/>
        <v>0</v>
      </c>
      <c r="AS72" s="422">
        <f t="shared" ref="AS72" si="132">AS65+AS71</f>
        <v>318263</v>
      </c>
      <c r="AT72" s="577">
        <f t="shared" si="126"/>
        <v>0</v>
      </c>
      <c r="AU72" s="577">
        <f t="shared" si="126"/>
        <v>35120.277922077876</v>
      </c>
      <c r="AV72" s="853">
        <f t="shared" si="126"/>
        <v>353383.27792207792</v>
      </c>
      <c r="AW72" s="513"/>
      <c r="AX72" s="430"/>
      <c r="AY72" s="430"/>
      <c r="BA72" s="430"/>
      <c r="BB72" s="536"/>
      <c r="BC72" s="536"/>
      <c r="BD72" s="536"/>
      <c r="BE72" s="536"/>
      <c r="BF72" s="536"/>
      <c r="BG72" s="536"/>
      <c r="BH72" s="430"/>
      <c r="BI72" s="536"/>
      <c r="BJ72" s="430"/>
      <c r="BK72" s="430"/>
    </row>
    <row r="73" spans="1:68" s="392" customFormat="1" ht="13.5" customHeight="1">
      <c r="A73" s="5">
        <v>41</v>
      </c>
      <c r="B73" s="6" t="s">
        <v>112</v>
      </c>
      <c r="C73" s="6"/>
      <c r="D73" s="6"/>
      <c r="E73" s="283">
        <f>'ROO INPUT'!$F74</f>
        <v>-65675</v>
      </c>
      <c r="F73" s="390">
        <v>50</v>
      </c>
      <c r="G73" s="390">
        <v>0</v>
      </c>
      <c r="H73" s="390">
        <v>0</v>
      </c>
      <c r="I73" s="390">
        <v>0</v>
      </c>
      <c r="J73" s="661">
        <v>0</v>
      </c>
      <c r="K73" s="390">
        <v>0</v>
      </c>
      <c r="L73" s="390">
        <v>0</v>
      </c>
      <c r="M73" s="390">
        <v>0</v>
      </c>
      <c r="N73" s="390">
        <v>0</v>
      </c>
      <c r="O73" s="390">
        <v>0</v>
      </c>
      <c r="P73" s="390">
        <v>0</v>
      </c>
      <c r="Q73" s="390">
        <v>0</v>
      </c>
      <c r="R73" s="390">
        <v>0</v>
      </c>
      <c r="S73" s="390">
        <v>0</v>
      </c>
      <c r="T73" s="390">
        <v>0</v>
      </c>
      <c r="U73" s="661">
        <v>0</v>
      </c>
      <c r="V73" s="661">
        <v>0</v>
      </c>
      <c r="W73" s="390">
        <v>0</v>
      </c>
      <c r="X73" s="391">
        <f>SUM(E73:W73)</f>
        <v>-65625</v>
      </c>
      <c r="Y73" s="390"/>
      <c r="Z73" s="390"/>
      <c r="AA73" s="661"/>
      <c r="AB73" s="661">
        <v>0</v>
      </c>
      <c r="AC73" s="661">
        <v>0</v>
      </c>
      <c r="AD73" s="390">
        <v>0</v>
      </c>
      <c r="AE73" s="390"/>
      <c r="AF73" s="390"/>
      <c r="AG73" s="661">
        <f>-1956+2652</f>
        <v>696</v>
      </c>
      <c r="AH73" s="661">
        <v>-1198</v>
      </c>
      <c r="AI73" s="390"/>
      <c r="AJ73" s="620"/>
      <c r="AK73" s="423">
        <f>SUM(X73:AJ73)</f>
        <v>-66127</v>
      </c>
      <c r="AL73" s="390">
        <v>0</v>
      </c>
      <c r="AM73" s="390">
        <v>0</v>
      </c>
      <c r="AN73" s="390">
        <v>0</v>
      </c>
      <c r="AO73" s="390">
        <v>0</v>
      </c>
      <c r="AP73" s="390">
        <v>0</v>
      </c>
      <c r="AQ73" s="390">
        <v>0</v>
      </c>
      <c r="AR73" s="390">
        <v>0</v>
      </c>
      <c r="AS73" s="423">
        <f>SUM(AK73:AR73)</f>
        <v>-66127</v>
      </c>
      <c r="AT73" s="576"/>
      <c r="AU73" s="576">
        <v>-14069.587824675327</v>
      </c>
      <c r="AV73" s="856">
        <f t="shared" ref="AV73:AV78" si="133">SUM(AS73:AU73)</f>
        <v>-80196.587824675327</v>
      </c>
      <c r="AW73" s="513"/>
      <c r="AX73" s="430"/>
      <c r="AY73" s="430"/>
      <c r="AZ73" s="527"/>
      <c r="BA73" s="430"/>
      <c r="BB73" s="389"/>
      <c r="BC73" s="389"/>
      <c r="BD73" s="389"/>
      <c r="BE73" s="389"/>
      <c r="BF73" s="389"/>
      <c r="BG73" s="389"/>
      <c r="BH73" s="430"/>
      <c r="BI73" s="389"/>
      <c r="BJ73" s="430"/>
      <c r="BK73" s="430"/>
      <c r="BL73" s="527"/>
      <c r="BM73" s="527"/>
      <c r="BN73" s="527"/>
      <c r="BO73" s="527"/>
      <c r="BP73" s="527"/>
    </row>
    <row r="74" spans="1:68" s="392" customFormat="1" ht="19" customHeight="1">
      <c r="A74" s="5">
        <v>42</v>
      </c>
      <c r="B74" s="6" t="s">
        <v>211</v>
      </c>
      <c r="C74" s="6"/>
      <c r="D74" s="6"/>
      <c r="E74" s="290">
        <f>E72+E73</f>
        <v>234958</v>
      </c>
      <c r="F74" s="290">
        <f>F72+F73</f>
        <v>50</v>
      </c>
      <c r="G74" s="290">
        <f t="shared" ref="G74:AA74" si="134">G72+G73</f>
        <v>0</v>
      </c>
      <c r="H74" s="290">
        <f t="shared" si="134"/>
        <v>0</v>
      </c>
      <c r="I74" s="290">
        <f t="shared" si="134"/>
        <v>0</v>
      </c>
      <c r="J74" s="219">
        <f>J72+J73</f>
        <v>0</v>
      </c>
      <c r="K74" s="290">
        <f t="shared" si="134"/>
        <v>0</v>
      </c>
      <c r="L74" s="290">
        <f t="shared" si="134"/>
        <v>0</v>
      </c>
      <c r="M74" s="290">
        <f t="shared" si="134"/>
        <v>0</v>
      </c>
      <c r="N74" s="290">
        <f t="shared" si="134"/>
        <v>0</v>
      </c>
      <c r="O74" s="290">
        <f t="shared" si="134"/>
        <v>0</v>
      </c>
      <c r="P74" s="290">
        <f t="shared" si="134"/>
        <v>0</v>
      </c>
      <c r="Q74" s="290">
        <f>Q72+Q73</f>
        <v>0</v>
      </c>
      <c r="R74" s="290">
        <f>R72+R73</f>
        <v>0</v>
      </c>
      <c r="S74" s="290">
        <f>S72+S73</f>
        <v>0</v>
      </c>
      <c r="T74" s="290">
        <f>T72+T73</f>
        <v>0</v>
      </c>
      <c r="U74" s="219">
        <f>U72+U73</f>
        <v>0</v>
      </c>
      <c r="V74" s="219">
        <f t="shared" si="134"/>
        <v>0</v>
      </c>
      <c r="W74" s="290">
        <f>W72+W73</f>
        <v>0</v>
      </c>
      <c r="X74" s="395">
        <f>X72+X73</f>
        <v>235008</v>
      </c>
      <c r="Y74" s="290">
        <f t="shared" si="134"/>
        <v>0</v>
      </c>
      <c r="Z74" s="290">
        <f t="shared" si="134"/>
        <v>0</v>
      </c>
      <c r="AA74" s="219">
        <f t="shared" si="134"/>
        <v>0</v>
      </c>
      <c r="AB74" s="219">
        <f>AB72+AB73</f>
        <v>0</v>
      </c>
      <c r="AC74" s="219">
        <f t="shared" ref="AC74:AL74" si="135">AC72+AC73</f>
        <v>0</v>
      </c>
      <c r="AD74" s="290">
        <f>AD72+AD73</f>
        <v>0</v>
      </c>
      <c r="AE74" s="536">
        <f t="shared" ref="AE74" si="136">AE72+AE73</f>
        <v>0</v>
      </c>
      <c r="AF74" s="536">
        <f>AF72+AF73</f>
        <v>0</v>
      </c>
      <c r="AG74" s="744">
        <f>AG72+AG73</f>
        <v>9640</v>
      </c>
      <c r="AH74" s="744">
        <f>AH72+AH73</f>
        <v>7488</v>
      </c>
      <c r="AI74" s="290">
        <f>AI72+AI73</f>
        <v>0</v>
      </c>
      <c r="AJ74" s="621"/>
      <c r="AK74" s="422">
        <f>AK72+AK73</f>
        <v>252136</v>
      </c>
      <c r="AL74" s="290">
        <f t="shared" si="135"/>
        <v>0</v>
      </c>
      <c r="AM74" s="290">
        <f t="shared" ref="AM74:AO74" si="137">AM72+AM73</f>
        <v>0</v>
      </c>
      <c r="AN74" s="290">
        <f>AN72+AN73</f>
        <v>0</v>
      </c>
      <c r="AO74" s="290">
        <f t="shared" si="137"/>
        <v>0</v>
      </c>
      <c r="AP74" s="290">
        <f t="shared" ref="AP74:AR74" si="138">AP72+AP73</f>
        <v>0</v>
      </c>
      <c r="AQ74" s="290">
        <f>AQ72+AQ73</f>
        <v>0</v>
      </c>
      <c r="AR74" s="290">
        <f t="shared" si="138"/>
        <v>0</v>
      </c>
      <c r="AS74" s="422">
        <f>AS72+AS73</f>
        <v>252136</v>
      </c>
      <c r="AT74" s="577">
        <f t="shared" ref="AT74:AU74" si="139">AT72+AT73</f>
        <v>0</v>
      </c>
      <c r="AU74" s="577">
        <f t="shared" si="139"/>
        <v>21050.690097402548</v>
      </c>
      <c r="AV74" s="853">
        <f t="shared" si="133"/>
        <v>273186.69009740255</v>
      </c>
      <c r="AW74" s="513"/>
      <c r="AX74" s="430"/>
      <c r="AY74" s="430"/>
      <c r="AZ74" s="527"/>
      <c r="BA74" s="430"/>
      <c r="BB74" s="536"/>
      <c r="BC74" s="536"/>
      <c r="BD74" s="536"/>
      <c r="BE74" s="536"/>
      <c r="BF74" s="536"/>
      <c r="BG74" s="536"/>
      <c r="BH74" s="430"/>
      <c r="BI74" s="536"/>
      <c r="BJ74" s="430"/>
      <c r="BK74" s="430"/>
      <c r="BL74" s="527"/>
      <c r="BM74" s="527"/>
      <c r="BN74" s="527"/>
      <c r="BO74" s="527"/>
      <c r="BP74" s="527"/>
    </row>
    <row r="75" spans="1:68">
      <c r="A75" s="154">
        <v>43</v>
      </c>
      <c r="B75" s="4" t="s">
        <v>68</v>
      </c>
      <c r="C75" s="4"/>
      <c r="D75" s="4"/>
      <c r="E75" s="281">
        <f>'ROO INPUT'!$F76</f>
        <v>15143</v>
      </c>
      <c r="F75" s="458">
        <v>0</v>
      </c>
      <c r="G75" s="458">
        <v>0</v>
      </c>
      <c r="H75" s="458">
        <v>0</v>
      </c>
      <c r="I75" s="458">
        <v>0</v>
      </c>
      <c r="J75" s="660">
        <v>0</v>
      </c>
      <c r="K75" s="458">
        <v>0</v>
      </c>
      <c r="L75" s="458">
        <v>0</v>
      </c>
      <c r="M75" s="458">
        <v>0</v>
      </c>
      <c r="N75" s="458">
        <v>0</v>
      </c>
      <c r="O75" s="458">
        <v>0</v>
      </c>
      <c r="P75" s="458">
        <v>0</v>
      </c>
      <c r="Q75" s="458">
        <v>0</v>
      </c>
      <c r="R75" s="458">
        <v>0</v>
      </c>
      <c r="S75" s="458">
        <v>0</v>
      </c>
      <c r="T75" s="458">
        <v>0</v>
      </c>
      <c r="U75" s="660">
        <v>0</v>
      </c>
      <c r="V75" s="660">
        <v>0</v>
      </c>
      <c r="W75" s="458">
        <v>0</v>
      </c>
      <c r="X75" s="388">
        <f>SUM(E75:W75)</f>
        <v>15143</v>
      </c>
      <c r="Y75" s="458"/>
      <c r="Z75" s="458"/>
      <c r="AA75" s="660"/>
      <c r="AB75" s="660">
        <v>0</v>
      </c>
      <c r="AC75" s="660">
        <v>0</v>
      </c>
      <c r="AD75" s="458">
        <v>0</v>
      </c>
      <c r="AE75" s="458"/>
      <c r="AF75" s="458"/>
      <c r="AG75" s="666"/>
      <c r="AH75" s="666"/>
      <c r="AI75" s="458"/>
      <c r="AJ75" s="619"/>
      <c r="AK75" s="422">
        <f>SUM(X75:AJ75)</f>
        <v>15143</v>
      </c>
      <c r="AL75" s="458">
        <v>0</v>
      </c>
      <c r="AM75" s="458">
        <v>0</v>
      </c>
      <c r="AN75" s="458">
        <v>0</v>
      </c>
      <c r="AO75" s="458">
        <v>0</v>
      </c>
      <c r="AP75" s="458">
        <v>0</v>
      </c>
      <c r="AQ75" s="458">
        <v>0</v>
      </c>
      <c r="AR75" s="458">
        <v>0</v>
      </c>
      <c r="AS75" s="422">
        <f>SUM(AK75:AR75)</f>
        <v>15143</v>
      </c>
      <c r="AT75" s="575">
        <v>0</v>
      </c>
      <c r="AU75" s="924">
        <v>-2403</v>
      </c>
      <c r="AV75" s="927">
        <f t="shared" si="133"/>
        <v>12740</v>
      </c>
      <c r="AW75" s="513"/>
      <c r="AX75" s="430"/>
      <c r="AY75" s="430"/>
      <c r="BA75" s="430"/>
      <c r="BB75" s="389"/>
      <c r="BC75" s="389"/>
      <c r="BD75" s="389"/>
      <c r="BE75" s="389"/>
      <c r="BF75" s="389"/>
      <c r="BG75" s="389"/>
      <c r="BH75" s="430"/>
      <c r="BI75" s="389"/>
      <c r="BJ75" s="430"/>
      <c r="BK75" s="430"/>
    </row>
    <row r="76" spans="1:68" s="392" customFormat="1">
      <c r="A76" s="5">
        <v>44</v>
      </c>
      <c r="B76" s="6" t="s">
        <v>69</v>
      </c>
      <c r="C76" s="6"/>
      <c r="D76" s="6"/>
      <c r="E76" s="281">
        <f>'ROO INPUT'!$F77</f>
        <v>0</v>
      </c>
      <c r="F76" s="389">
        <v>0</v>
      </c>
      <c r="G76" s="389">
        <v>0</v>
      </c>
      <c r="H76" s="389">
        <v>0</v>
      </c>
      <c r="I76" s="389">
        <v>0</v>
      </c>
      <c r="J76" s="666">
        <v>0</v>
      </c>
      <c r="K76" s="389">
        <v>0</v>
      </c>
      <c r="L76" s="389">
        <v>0</v>
      </c>
      <c r="M76" s="389">
        <v>0</v>
      </c>
      <c r="N76" s="389">
        <v>0</v>
      </c>
      <c r="O76" s="389">
        <v>0</v>
      </c>
      <c r="P76" s="389">
        <v>0</v>
      </c>
      <c r="Q76" s="389">
        <v>0</v>
      </c>
      <c r="R76" s="389">
        <v>0</v>
      </c>
      <c r="S76" s="389">
        <v>0</v>
      </c>
      <c r="T76" s="389">
        <v>0</v>
      </c>
      <c r="U76" s="666">
        <v>0</v>
      </c>
      <c r="V76" s="666">
        <v>0</v>
      </c>
      <c r="W76" s="389">
        <v>0</v>
      </c>
      <c r="X76" s="395">
        <f>SUM(E76:W76)</f>
        <v>0</v>
      </c>
      <c r="Y76" s="389"/>
      <c r="Z76" s="389"/>
      <c r="AA76" s="666"/>
      <c r="AB76" s="666">
        <v>0</v>
      </c>
      <c r="AC76" s="666">
        <v>0</v>
      </c>
      <c r="AD76" s="389">
        <v>0</v>
      </c>
      <c r="AE76" s="389"/>
      <c r="AF76" s="389"/>
      <c r="AG76" s="666"/>
      <c r="AH76" s="666"/>
      <c r="AI76" s="389"/>
      <c r="AJ76" s="619"/>
      <c r="AK76" s="422">
        <f>SUM(X76:AJ76)</f>
        <v>0</v>
      </c>
      <c r="AL76" s="389">
        <v>0</v>
      </c>
      <c r="AM76" s="389">
        <v>0</v>
      </c>
      <c r="AN76" s="389">
        <v>0</v>
      </c>
      <c r="AO76" s="389">
        <v>0</v>
      </c>
      <c r="AP76" s="389">
        <v>0</v>
      </c>
      <c r="AQ76" s="389">
        <v>0</v>
      </c>
      <c r="AR76" s="389">
        <v>0</v>
      </c>
      <c r="AS76" s="422">
        <f>SUM(AK76:AR76)</f>
        <v>0</v>
      </c>
      <c r="AT76" s="575"/>
      <c r="AU76" s="575">
        <v>0</v>
      </c>
      <c r="AV76" s="925">
        <f t="shared" si="133"/>
        <v>0</v>
      </c>
      <c r="AW76" s="513"/>
      <c r="AX76" s="430"/>
      <c r="AY76" s="430"/>
      <c r="AZ76" s="527"/>
      <c r="BA76" s="430"/>
      <c r="BB76" s="389"/>
      <c r="BC76" s="389"/>
      <c r="BD76" s="389"/>
      <c r="BE76" s="389"/>
      <c r="BF76" s="389"/>
      <c r="BG76" s="389"/>
      <c r="BH76" s="430"/>
      <c r="BI76" s="389"/>
      <c r="BJ76" s="430"/>
      <c r="BK76" s="430"/>
      <c r="BL76" s="527"/>
      <c r="BM76" s="527"/>
      <c r="BN76" s="527"/>
      <c r="BO76" s="527"/>
      <c r="BP76" s="527"/>
    </row>
    <row r="77" spans="1:68" s="392" customFormat="1">
      <c r="A77" s="5">
        <v>45</v>
      </c>
      <c r="B77" s="6" t="s">
        <v>432</v>
      </c>
      <c r="C77" s="6"/>
      <c r="D77" s="6"/>
      <c r="E77" s="281">
        <f>'ROO INPUT'!$F78</f>
        <v>-509</v>
      </c>
      <c r="F77" s="389"/>
      <c r="G77" s="389">
        <v>0</v>
      </c>
      <c r="H77" s="389"/>
      <c r="I77" s="389"/>
      <c r="J77" s="666"/>
      <c r="K77" s="389"/>
      <c r="L77" s="389"/>
      <c r="M77" s="389"/>
      <c r="N77" s="389"/>
      <c r="O77" s="389"/>
      <c r="P77" s="389"/>
      <c r="Q77" s="389"/>
      <c r="R77" s="389"/>
      <c r="S77" s="389"/>
      <c r="T77" s="389"/>
      <c r="U77" s="666"/>
      <c r="V77" s="666"/>
      <c r="W77" s="389"/>
      <c r="X77" s="395">
        <f>SUM(E77:W77)</f>
        <v>-509</v>
      </c>
      <c r="Y77" s="389"/>
      <c r="Z77" s="389"/>
      <c r="AA77" s="666"/>
      <c r="AB77" s="666"/>
      <c r="AC77" s="666"/>
      <c r="AD77" s="389"/>
      <c r="AE77" s="389"/>
      <c r="AF77" s="389"/>
      <c r="AG77" s="666"/>
      <c r="AH77" s="666"/>
      <c r="AI77" s="389"/>
      <c r="AJ77" s="619"/>
      <c r="AK77" s="422">
        <f>SUM(X77:AJ77)</f>
        <v>-509</v>
      </c>
      <c r="AL77" s="389"/>
      <c r="AM77" s="389"/>
      <c r="AN77" s="389"/>
      <c r="AO77" s="389"/>
      <c r="AP77" s="389"/>
      <c r="AQ77" s="389"/>
      <c r="AR77" s="389"/>
      <c r="AS77" s="422">
        <f>SUM(AK77:AR77)</f>
        <v>-509</v>
      </c>
      <c r="AT77" s="575">
        <v>0</v>
      </c>
      <c r="AU77" s="924">
        <v>24</v>
      </c>
      <c r="AV77" s="927">
        <f t="shared" si="133"/>
        <v>-485</v>
      </c>
      <c r="AW77" s="513"/>
      <c r="AX77" s="430"/>
      <c r="AY77" s="430"/>
      <c r="AZ77" s="527"/>
      <c r="BA77" s="430"/>
      <c r="BB77" s="389"/>
      <c r="BC77" s="389"/>
      <c r="BD77" s="389"/>
      <c r="BE77" s="389"/>
      <c r="BF77" s="389"/>
      <c r="BG77" s="389"/>
      <c r="BH77" s="430"/>
      <c r="BI77" s="389"/>
      <c r="BJ77" s="430"/>
      <c r="BK77" s="430"/>
      <c r="BL77" s="527"/>
      <c r="BM77" s="527"/>
      <c r="BN77" s="527"/>
      <c r="BO77" s="527"/>
      <c r="BP77" s="527"/>
    </row>
    <row r="78" spans="1:68">
      <c r="A78" s="154">
        <v>46</v>
      </c>
      <c r="B78" s="4" t="s">
        <v>182</v>
      </c>
      <c r="C78" s="4"/>
      <c r="D78" s="4"/>
      <c r="E78" s="283">
        <f>'ROO INPUT'!$F79</f>
        <v>9797</v>
      </c>
      <c r="F78" s="390">
        <v>0</v>
      </c>
      <c r="G78" s="390">
        <v>0</v>
      </c>
      <c r="H78" s="390">
        <v>2828</v>
      </c>
      <c r="I78" s="390">
        <v>0</v>
      </c>
      <c r="J78" s="661">
        <v>0</v>
      </c>
      <c r="K78" s="390">
        <v>0</v>
      </c>
      <c r="L78" s="390">
        <v>0</v>
      </c>
      <c r="M78" s="390">
        <v>0</v>
      </c>
      <c r="N78" s="390">
        <v>0</v>
      </c>
      <c r="O78" s="390">
        <v>0</v>
      </c>
      <c r="P78" s="390">
        <v>0</v>
      </c>
      <c r="Q78" s="390">
        <v>0</v>
      </c>
      <c r="R78" s="390">
        <v>0</v>
      </c>
      <c r="S78" s="390">
        <v>0</v>
      </c>
      <c r="T78" s="390">
        <v>0</v>
      </c>
      <c r="U78" s="661">
        <v>0</v>
      </c>
      <c r="V78" s="661">
        <v>0</v>
      </c>
      <c r="W78" s="390">
        <v>0</v>
      </c>
      <c r="X78" s="391">
        <f>SUM(E78:W78)</f>
        <v>12625</v>
      </c>
      <c r="Y78" s="390"/>
      <c r="Z78" s="390"/>
      <c r="AA78" s="661"/>
      <c r="AB78" s="661">
        <v>0</v>
      </c>
      <c r="AC78" s="661">
        <v>0</v>
      </c>
      <c r="AD78" s="390">
        <v>0</v>
      </c>
      <c r="AE78" s="390"/>
      <c r="AF78" s="390"/>
      <c r="AG78" s="661"/>
      <c r="AH78" s="661"/>
      <c r="AI78" s="390"/>
      <c r="AJ78" s="620"/>
      <c r="AK78" s="423">
        <f>SUM(X78:AJ78)</f>
        <v>12625</v>
      </c>
      <c r="AL78" s="390">
        <v>0</v>
      </c>
      <c r="AM78" s="390">
        <v>0</v>
      </c>
      <c r="AN78" s="390">
        <v>0</v>
      </c>
      <c r="AO78" s="390">
        <v>0</v>
      </c>
      <c r="AP78" s="390">
        <v>0</v>
      </c>
      <c r="AQ78" s="390">
        <v>0</v>
      </c>
      <c r="AR78" s="390">
        <v>0</v>
      </c>
      <c r="AS78" s="423">
        <f>SUM(AK78:AR78)</f>
        <v>12625</v>
      </c>
      <c r="AT78" s="576"/>
      <c r="AU78" s="576">
        <v>58</v>
      </c>
      <c r="AV78" s="928">
        <f t="shared" si="133"/>
        <v>12683</v>
      </c>
      <c r="AW78" s="513"/>
      <c r="AX78" s="430"/>
      <c r="AY78" s="430"/>
      <c r="BA78" s="430"/>
      <c r="BB78" s="389"/>
      <c r="BC78" s="389"/>
      <c r="BD78" s="389"/>
      <c r="BE78" s="389"/>
      <c r="BF78" s="389"/>
      <c r="BG78" s="389"/>
      <c r="BH78" s="430"/>
      <c r="BI78" s="389"/>
      <c r="BJ78" s="430"/>
      <c r="BK78" s="430"/>
    </row>
    <row r="79" spans="1:68" ht="7.5" customHeight="1">
      <c r="AG79" s="676"/>
      <c r="AH79" s="676"/>
      <c r="AJ79" s="617"/>
      <c r="AK79" s="420"/>
      <c r="AL79" s="386"/>
      <c r="AM79" s="386"/>
      <c r="AN79" s="386"/>
      <c r="AS79" s="420"/>
      <c r="AT79" s="573"/>
      <c r="AU79" s="573"/>
      <c r="AV79" s="926"/>
    </row>
    <row r="80" spans="1:68" ht="6.75" customHeight="1">
      <c r="E80" s="281"/>
      <c r="F80" s="281"/>
      <c r="G80" s="281"/>
      <c r="H80" s="281"/>
      <c r="I80" s="281"/>
      <c r="J80" s="215"/>
      <c r="K80" s="281"/>
      <c r="L80" s="281"/>
      <c r="M80" s="281"/>
      <c r="N80" s="281"/>
      <c r="O80" s="281"/>
      <c r="P80" s="281"/>
      <c r="Q80" s="281"/>
      <c r="R80" s="281"/>
      <c r="S80" s="281"/>
      <c r="T80" s="281"/>
      <c r="U80" s="215"/>
      <c r="V80" s="215"/>
      <c r="W80" s="281"/>
      <c r="X80" s="388"/>
      <c r="Y80" s="281"/>
      <c r="Z80" s="281"/>
      <c r="AA80" s="215"/>
      <c r="AB80" s="215"/>
      <c r="AC80" s="215"/>
      <c r="AD80" s="281"/>
      <c r="AE80" s="328"/>
      <c r="AF80" s="328"/>
      <c r="AG80" s="744"/>
      <c r="AH80" s="744"/>
      <c r="AI80" s="281"/>
      <c r="AJ80" s="621"/>
      <c r="AK80" s="422"/>
      <c r="AL80" s="536"/>
      <c r="AM80" s="536"/>
      <c r="AN80" s="536"/>
      <c r="AO80" s="281"/>
      <c r="AP80" s="281"/>
      <c r="AQ80" s="281"/>
      <c r="AR80" s="281"/>
      <c r="AS80" s="422"/>
      <c r="AT80" s="577"/>
      <c r="AU80" s="577"/>
      <c r="AV80" s="925"/>
      <c r="AW80" s="513"/>
      <c r="AX80" s="430"/>
      <c r="AY80" s="430"/>
      <c r="BA80" s="430"/>
      <c r="BB80" s="536"/>
      <c r="BC80" s="536"/>
      <c r="BD80" s="536"/>
      <c r="BE80" s="536"/>
      <c r="BF80" s="536"/>
      <c r="BG80" s="536"/>
      <c r="BH80" s="430"/>
      <c r="BI80" s="536"/>
      <c r="BJ80" s="430"/>
      <c r="BK80" s="430"/>
    </row>
    <row r="81" spans="1:68" s="396" customFormat="1" ht="12" thickBot="1">
      <c r="A81" s="363">
        <v>47</v>
      </c>
      <c r="B81" s="396" t="s">
        <v>70</v>
      </c>
      <c r="E81" s="393">
        <f>E74+E75+E76+E78+E77</f>
        <v>259389</v>
      </c>
      <c r="F81" s="393">
        <f t="shared" ref="F81:AA81" si="140">F74+F75+F76+F78+F77</f>
        <v>50</v>
      </c>
      <c r="G81" s="393">
        <f>G74+G75+G76+G78+G77</f>
        <v>0</v>
      </c>
      <c r="H81" s="393">
        <f t="shared" si="140"/>
        <v>2828</v>
      </c>
      <c r="I81" s="393">
        <f t="shared" si="140"/>
        <v>0</v>
      </c>
      <c r="J81" s="323">
        <f>J74+J75+J76+J78+J77</f>
        <v>0</v>
      </c>
      <c r="K81" s="393">
        <f t="shared" si="140"/>
        <v>0</v>
      </c>
      <c r="L81" s="393">
        <f t="shared" si="140"/>
        <v>0</v>
      </c>
      <c r="M81" s="393">
        <f t="shared" si="140"/>
        <v>0</v>
      </c>
      <c r="N81" s="393">
        <f t="shared" si="140"/>
        <v>0</v>
      </c>
      <c r="O81" s="393">
        <f t="shared" si="140"/>
        <v>0</v>
      </c>
      <c r="P81" s="393">
        <f t="shared" si="140"/>
        <v>0</v>
      </c>
      <c r="Q81" s="393">
        <f>Q74+Q75+Q76+Q78+Q77</f>
        <v>0</v>
      </c>
      <c r="R81" s="393">
        <f>R74+R75+R76+R78+R77</f>
        <v>0</v>
      </c>
      <c r="S81" s="393">
        <f>S74+S75+S76+S78+S77</f>
        <v>0</v>
      </c>
      <c r="T81" s="393">
        <f>T74+T75+T76+T78+T77</f>
        <v>0</v>
      </c>
      <c r="U81" s="323">
        <f>U74+U75+U76+U78+U77</f>
        <v>0</v>
      </c>
      <c r="V81" s="323">
        <f t="shared" si="140"/>
        <v>0</v>
      </c>
      <c r="W81" s="393">
        <f>W74+W75+W76+W78+W77</f>
        <v>0</v>
      </c>
      <c r="X81" s="393">
        <f t="shared" si="140"/>
        <v>262267</v>
      </c>
      <c r="Y81" s="393">
        <f>Y74+Y75+Y76+Y78+Y77</f>
        <v>0</v>
      </c>
      <c r="Z81" s="393">
        <f t="shared" si="140"/>
        <v>0</v>
      </c>
      <c r="AA81" s="323">
        <f t="shared" si="140"/>
        <v>0</v>
      </c>
      <c r="AB81" s="323">
        <f>AB74+AB75+AB76+AB78+AB77</f>
        <v>0</v>
      </c>
      <c r="AC81" s="323">
        <f t="shared" ref="AC81:AL81" si="141">AC74+AC75+AC76+AC78+AC77</f>
        <v>0</v>
      </c>
      <c r="AD81" s="393">
        <f>AD74+AD75+AD76+AD78+AD77</f>
        <v>0</v>
      </c>
      <c r="AE81" s="537">
        <f t="shared" ref="AE81" si="142">AE74+AE75+AE76+AE78+AE77</f>
        <v>0</v>
      </c>
      <c r="AF81" s="537">
        <f>AF74+AF75+AF76+AF78+AF77</f>
        <v>0</v>
      </c>
      <c r="AG81" s="323">
        <f>AG74+AG75+AG76+AG78+AG77</f>
        <v>9640</v>
      </c>
      <c r="AH81" s="323">
        <f>AH74+AH75+AH76+AH78+AH77</f>
        <v>7488</v>
      </c>
      <c r="AI81" s="393">
        <f>AI74+AI75+AI76+AI78+AI77</f>
        <v>0</v>
      </c>
      <c r="AJ81" s="627"/>
      <c r="AK81" s="424">
        <f>AK74+AK75+AK76+AK78+AK77</f>
        <v>279395</v>
      </c>
      <c r="AL81" s="393">
        <f t="shared" si="141"/>
        <v>0</v>
      </c>
      <c r="AM81" s="393">
        <f t="shared" ref="AM81:AS81" si="143">AM74+AM75+AM76+AM78+AM77</f>
        <v>0</v>
      </c>
      <c r="AN81" s="393">
        <f>AN74+AN75+AN76+AN78+AN77</f>
        <v>0</v>
      </c>
      <c r="AO81" s="393">
        <f t="shared" si="143"/>
        <v>0</v>
      </c>
      <c r="AP81" s="393">
        <f t="shared" ref="AP81:AR81" si="144">AP74+AP75+AP76+AP78+AP77</f>
        <v>0</v>
      </c>
      <c r="AQ81" s="393">
        <f>AQ74+AQ75+AQ76+AQ78+AQ77</f>
        <v>0</v>
      </c>
      <c r="AR81" s="393">
        <f t="shared" si="144"/>
        <v>0</v>
      </c>
      <c r="AS81" s="424">
        <f t="shared" si="143"/>
        <v>279395</v>
      </c>
      <c r="AT81" s="583">
        <f t="shared" ref="AT81:AU81" si="145">AT74+AT75+AT76+AT78+AT77</f>
        <v>0</v>
      </c>
      <c r="AU81" s="932">
        <f t="shared" si="145"/>
        <v>18729.690097402548</v>
      </c>
      <c r="AV81" s="929">
        <f t="shared" ref="AV81" si="146">AV74+AV75+AV76+AV78+AV77</f>
        <v>298124.69009740255</v>
      </c>
      <c r="AW81" s="881"/>
      <c r="AX81" s="434"/>
      <c r="AY81" s="434"/>
      <c r="AZ81" s="882"/>
      <c r="BA81" s="434"/>
      <c r="BB81" s="434"/>
      <c r="BC81" s="434"/>
      <c r="BD81" s="434"/>
      <c r="BE81" s="434"/>
      <c r="BF81" s="434"/>
      <c r="BG81" s="434"/>
      <c r="BH81" s="434"/>
      <c r="BI81" s="434"/>
      <c r="BJ81" s="434"/>
      <c r="BK81" s="434"/>
      <c r="BL81" s="882"/>
      <c r="BM81" s="882"/>
      <c r="BN81" s="882"/>
      <c r="BO81" s="882"/>
      <c r="BP81" s="882"/>
    </row>
    <row r="82" spans="1:68" ht="12.5" thickTop="1" thickBot="1">
      <c r="A82" s="154">
        <v>48</v>
      </c>
      <c r="B82" s="1" t="s">
        <v>478</v>
      </c>
      <c r="E82" s="7">
        <f>ROUND(E58/E81,4)</f>
        <v>5.6099999999999997E-2</v>
      </c>
      <c r="F82" s="281"/>
      <c r="G82" s="281"/>
      <c r="H82" s="281"/>
      <c r="I82" s="281"/>
      <c r="J82" s="215"/>
      <c r="K82" s="281"/>
      <c r="L82" s="281"/>
      <c r="M82" s="281"/>
      <c r="N82" s="281"/>
      <c r="O82" s="281"/>
      <c r="P82" s="281"/>
      <c r="Q82" s="281"/>
      <c r="R82" s="281"/>
      <c r="S82" s="281"/>
      <c r="T82" s="281"/>
      <c r="U82" s="215"/>
      <c r="V82" s="662"/>
      <c r="W82" s="388"/>
      <c r="X82" s="413" t="s">
        <v>463</v>
      </c>
      <c r="Y82" s="388"/>
      <c r="Z82" s="388"/>
      <c r="AA82" s="662"/>
      <c r="AB82" s="662"/>
      <c r="AC82" s="215"/>
      <c r="AD82" s="281"/>
      <c r="AE82" s="328"/>
      <c r="AF82" s="328"/>
      <c r="AG82" s="749"/>
      <c r="AH82" s="749"/>
      <c r="AI82" s="281"/>
      <c r="AJ82" s="628"/>
      <c r="AK82" s="418"/>
      <c r="AL82" s="536"/>
      <c r="AM82" s="536"/>
      <c r="AN82" s="536"/>
      <c r="AO82" s="281"/>
      <c r="AP82" s="388"/>
      <c r="AQ82" s="388"/>
      <c r="AR82" s="281"/>
      <c r="AS82" s="426"/>
      <c r="AT82" s="584"/>
      <c r="AU82" s="584"/>
      <c r="AV82" s="930">
        <f>ROUND(AV58/AV81,4)</f>
        <v>6.8500000000000005E-2</v>
      </c>
      <c r="AW82" s="883"/>
      <c r="AX82" s="435"/>
      <c r="AY82" s="435"/>
      <c r="BA82" s="435"/>
      <c r="BB82" s="536"/>
      <c r="BC82" s="536"/>
      <c r="BD82" s="430"/>
      <c r="BE82" s="430"/>
      <c r="BF82" s="536"/>
      <c r="BG82" s="536"/>
      <c r="BH82" s="435"/>
      <c r="BI82" s="884"/>
      <c r="BJ82" s="435"/>
      <c r="BK82" s="435"/>
      <c r="BL82" s="885"/>
      <c r="BM82" s="872"/>
    </row>
    <row r="83" spans="1:68" ht="13.5" thickBot="1">
      <c r="A83" s="959" t="s">
        <v>596</v>
      </c>
      <c r="B83" s="1" t="s">
        <v>174</v>
      </c>
      <c r="E83" s="65">
        <f>E89</f>
        <v>7074.7996380662635</v>
      </c>
      <c r="F83" s="65">
        <f t="shared" ref="F83:AL83" si="147">F89</f>
        <v>5.0857950364756306</v>
      </c>
      <c r="G83" s="65">
        <f t="shared" si="147"/>
        <v>1.0483820239579487</v>
      </c>
      <c r="H83" s="65">
        <f t="shared" si="147"/>
        <v>287.6525672630616</v>
      </c>
      <c r="I83" s="65">
        <f t="shared" si="147"/>
        <v>14.677348335411283</v>
      </c>
      <c r="J83" s="170">
        <f t="shared" ref="J83" si="148">J89</f>
        <v>-367.98209040923996</v>
      </c>
      <c r="K83" s="65">
        <f t="shared" si="147"/>
        <v>-328.1435734988379</v>
      </c>
      <c r="L83" s="65">
        <f t="shared" si="147"/>
        <v>-12.580584287495386</v>
      </c>
      <c r="M83" s="65">
        <f t="shared" si="147"/>
        <v>242.17624753428615</v>
      </c>
      <c r="N83" s="65">
        <f t="shared" si="147"/>
        <v>-359.67567898865008</v>
      </c>
      <c r="O83" s="65">
        <f t="shared" si="147"/>
        <v>-9.4354382156215379</v>
      </c>
      <c r="P83" s="65">
        <f t="shared" si="147"/>
        <v>-5.2419101197897433</v>
      </c>
      <c r="Q83" s="65">
        <f>Q89</f>
        <v>-6.2902921437476929</v>
      </c>
      <c r="R83" s="65">
        <f>R89</f>
        <v>-1861.9264745493169</v>
      </c>
      <c r="S83" s="65">
        <f>S89</f>
        <v>0</v>
      </c>
      <c r="T83" s="65">
        <f>T89</f>
        <v>-232.74080931866462</v>
      </c>
      <c r="U83" s="170">
        <f>U89</f>
        <v>-137.09611082527022</v>
      </c>
      <c r="V83" s="170">
        <f t="shared" si="147"/>
        <v>140.48319121036511</v>
      </c>
      <c r="W83" s="65">
        <f>W89</f>
        <v>-1577.8149460567126</v>
      </c>
      <c r="X83" s="65">
        <f t="shared" si="147"/>
        <v>2866.9952610564774</v>
      </c>
      <c r="Y83" s="65">
        <f t="shared" si="147"/>
        <v>675.29431309203346</v>
      </c>
      <c r="Z83" s="65">
        <f t="shared" si="147"/>
        <v>-13.628966311453331</v>
      </c>
      <c r="AA83" s="170">
        <f t="shared" si="147"/>
        <v>418.30442755922155</v>
      </c>
      <c r="AB83" s="170">
        <f>AB89</f>
        <v>0</v>
      </c>
      <c r="AC83" s="170">
        <f t="shared" ref="AC83" si="149">AC89</f>
        <v>241.12786551032818</v>
      </c>
      <c r="AD83" s="65">
        <f>AD89</f>
        <v>-12906.631096946307</v>
      </c>
      <c r="AE83" s="357">
        <f t="shared" ref="AE83" si="150">AE89</f>
        <v>247.41815765407588</v>
      </c>
      <c r="AF83" s="357">
        <f>AF89</f>
        <v>2709.0191499073389</v>
      </c>
      <c r="AG83" s="170">
        <f>AG89</f>
        <v>1626.3446097905976</v>
      </c>
      <c r="AH83" s="170">
        <f>AH89</f>
        <v>837.13217038756261</v>
      </c>
      <c r="AI83" s="65">
        <f>AI89</f>
        <v>-35.644988814570254</v>
      </c>
      <c r="AJ83" s="629"/>
      <c r="AK83" s="417">
        <f t="shared" si="147"/>
        <v>-3334.2690971146976</v>
      </c>
      <c r="AL83" s="65">
        <f t="shared" si="147"/>
        <v>0</v>
      </c>
      <c r="AM83" s="65">
        <f t="shared" ref="AM83:AO83" si="151">AM89</f>
        <v>0</v>
      </c>
      <c r="AN83" s="65">
        <f>AN89</f>
        <v>0</v>
      </c>
      <c r="AO83" s="65">
        <f t="shared" si="151"/>
        <v>0</v>
      </c>
      <c r="AP83" s="65">
        <f>AP89</f>
        <v>0</v>
      </c>
      <c r="AQ83" s="65">
        <f>AQ89</f>
        <v>0</v>
      </c>
      <c r="AR83" s="65">
        <f t="shared" ref="AR83" si="152">AR89</f>
        <v>0</v>
      </c>
      <c r="AS83" s="427">
        <f>AS89</f>
        <v>-3334.2690971146976</v>
      </c>
      <c r="AT83" s="575">
        <f>AT89</f>
        <v>0</v>
      </c>
      <c r="AU83" s="933">
        <f>AU89</f>
        <v>5477.6953175768085</v>
      </c>
      <c r="AV83" s="931">
        <f>AV89</f>
        <v>2143.4262204621168</v>
      </c>
      <c r="AW83" s="362"/>
      <c r="BD83" s="386"/>
      <c r="BE83" s="386"/>
      <c r="BI83" s="389"/>
      <c r="BL83" s="885"/>
      <c r="BM83" s="886"/>
    </row>
    <row r="84" spans="1:68" ht="8.25" customHeight="1">
      <c r="A84" s="835"/>
      <c r="B84" s="399"/>
      <c r="C84" s="399"/>
      <c r="D84" s="399"/>
      <c r="E84" s="328"/>
      <c r="F84" s="328"/>
      <c r="G84" s="328"/>
      <c r="H84" s="328"/>
      <c r="I84" s="328"/>
      <c r="J84" s="217"/>
      <c r="K84" s="328"/>
      <c r="L84" s="281"/>
      <c r="M84" s="281"/>
      <c r="N84" s="281"/>
      <c r="O84" s="281"/>
      <c r="P84" s="281"/>
      <c r="Q84" s="281"/>
      <c r="R84" s="281"/>
      <c r="S84" s="281"/>
      <c r="T84" s="281"/>
      <c r="U84" s="215"/>
      <c r="V84" s="662"/>
      <c r="W84" s="388"/>
      <c r="X84" s="388"/>
      <c r="Y84" s="388"/>
      <c r="Z84" s="388"/>
      <c r="AA84" s="662"/>
      <c r="AB84" s="662"/>
      <c r="AC84" s="215"/>
      <c r="AD84" s="281"/>
      <c r="AE84" s="328"/>
      <c r="AF84" s="328"/>
      <c r="AG84" s="217"/>
      <c r="AH84" s="217"/>
      <c r="AI84" s="281"/>
      <c r="AJ84" s="630"/>
      <c r="AK84" s="388"/>
      <c r="AL84" s="328"/>
      <c r="AM84" s="328"/>
      <c r="AN84" s="328"/>
      <c r="AO84" s="281"/>
      <c r="AP84" s="388"/>
      <c r="AQ84" s="388"/>
      <c r="AR84" s="281"/>
      <c r="AS84" s="388"/>
      <c r="AT84" s="328"/>
      <c r="AU84" s="388"/>
      <c r="AV84" s="388"/>
      <c r="AW84" s="513"/>
      <c r="AX84" s="430"/>
      <c r="AY84" s="430"/>
      <c r="BA84" s="430"/>
      <c r="BB84" s="536"/>
      <c r="BC84" s="536"/>
      <c r="BD84" s="430"/>
      <c r="BE84" s="430"/>
      <c r="BF84" s="536"/>
      <c r="BG84" s="536"/>
      <c r="BH84" s="430"/>
      <c r="BI84" s="536"/>
      <c r="BJ84" s="430"/>
      <c r="BK84" s="430"/>
    </row>
    <row r="85" spans="1:68" s="399" customFormat="1" ht="16.5" customHeight="1">
      <c r="A85" s="398"/>
      <c r="D85" s="400" t="s">
        <v>437</v>
      </c>
      <c r="E85" s="468">
        <f>'RR SUMMARY'!M17</f>
        <v>7.2999999999999995E-2</v>
      </c>
      <c r="F85" s="328"/>
      <c r="G85" s="328"/>
      <c r="H85" s="328"/>
      <c r="I85" s="328"/>
      <c r="J85" s="217"/>
      <c r="K85" s="328"/>
      <c r="L85" s="328"/>
      <c r="M85" s="328"/>
      <c r="N85" s="328"/>
      <c r="O85" s="328"/>
      <c r="P85" s="328"/>
      <c r="Q85" s="328"/>
      <c r="R85" s="328"/>
      <c r="S85" s="328"/>
      <c r="T85" s="328"/>
      <c r="U85" s="217"/>
      <c r="V85" s="667"/>
      <c r="W85" s="401"/>
      <c r="X85" s="401"/>
      <c r="Y85" s="401"/>
      <c r="Z85" s="401"/>
      <c r="AA85" s="667"/>
      <c r="AB85" s="667"/>
      <c r="AC85" s="217"/>
      <c r="AD85" s="328"/>
      <c r="AE85" s="328"/>
      <c r="AF85" s="328"/>
      <c r="AG85" s="217"/>
      <c r="AH85" s="217"/>
      <c r="AI85" s="328"/>
      <c r="AJ85" s="630"/>
      <c r="AK85" s="401"/>
      <c r="AL85" s="328"/>
      <c r="AM85" s="328"/>
      <c r="AN85" s="328"/>
      <c r="AO85" s="328"/>
      <c r="AP85" s="401"/>
      <c r="AQ85" s="401"/>
      <c r="AR85" s="328"/>
      <c r="AS85" s="401"/>
      <c r="AT85" s="328"/>
      <c r="AU85" s="401"/>
      <c r="AV85" s="401"/>
      <c r="AW85" s="513"/>
      <c r="AX85" s="430"/>
      <c r="AY85" s="430"/>
      <c r="AZ85" s="527"/>
      <c r="BA85" s="430"/>
      <c r="BB85" s="536"/>
      <c r="BC85" s="536"/>
      <c r="BD85" s="430"/>
      <c r="BE85" s="430"/>
      <c r="BF85" s="536"/>
      <c r="BG85" s="944"/>
      <c r="BH85" s="944"/>
      <c r="BI85" s="944"/>
      <c r="BJ85" s="944"/>
      <c r="BK85" s="944"/>
      <c r="BL85" s="944"/>
      <c r="BM85" s="527"/>
      <c r="BN85" s="527"/>
      <c r="BO85" s="527"/>
      <c r="BP85" s="527"/>
    </row>
    <row r="86" spans="1:68" s="399" customFormat="1" ht="17.25" customHeight="1">
      <c r="A86" s="320"/>
      <c r="D86" s="400" t="s">
        <v>154</v>
      </c>
      <c r="E86" s="585">
        <f>'RR SUMMARY'!F22</f>
        <v>0.62000299999999997</v>
      </c>
      <c r="F86" s="328"/>
      <c r="G86" s="328"/>
      <c r="H86" s="328"/>
      <c r="I86" s="328"/>
      <c r="J86" s="217"/>
      <c r="K86" s="328"/>
      <c r="L86" s="328"/>
      <c r="M86" s="328"/>
      <c r="N86" s="328"/>
      <c r="O86" s="328"/>
      <c r="P86" s="328"/>
      <c r="Q86" s="328"/>
      <c r="R86" s="328"/>
      <c r="S86" s="328"/>
      <c r="T86" s="328"/>
      <c r="U86" s="217"/>
      <c r="V86" s="667"/>
      <c r="W86" s="401"/>
      <c r="X86" s="401"/>
      <c r="Y86" s="401"/>
      <c r="Z86" s="401"/>
      <c r="AA86" s="667"/>
      <c r="AB86" s="667"/>
      <c r="AC86" s="217"/>
      <c r="AD86" s="328"/>
      <c r="AE86" s="328"/>
      <c r="AF86" s="328"/>
      <c r="AG86" s="217"/>
      <c r="AH86" s="217"/>
      <c r="AI86" s="328"/>
      <c r="AJ86" s="630"/>
      <c r="AK86" s="401"/>
      <c r="AL86" s="328"/>
      <c r="AM86" s="328"/>
      <c r="AN86" s="328"/>
      <c r="AO86" s="328"/>
      <c r="AP86" s="401"/>
      <c r="AQ86" s="401"/>
      <c r="AR86" s="328"/>
      <c r="AS86" s="401"/>
      <c r="AT86" s="328"/>
      <c r="AU86" s="401"/>
      <c r="AV86" s="401"/>
      <c r="AW86" s="513"/>
      <c r="AX86" s="430"/>
      <c r="AY86" s="430"/>
      <c r="AZ86" s="527"/>
      <c r="BA86" s="430"/>
      <c r="BB86" s="536"/>
      <c r="BC86" s="536"/>
      <c r="BD86" s="430"/>
      <c r="BE86" s="430"/>
      <c r="BF86" s="536"/>
      <c r="BG86" s="944"/>
      <c r="BH86" s="944"/>
      <c r="BI86" s="944"/>
      <c r="BJ86" s="944"/>
      <c r="BK86" s="944"/>
      <c r="BL86" s="944"/>
      <c r="BM86" s="527"/>
      <c r="BN86" s="527"/>
      <c r="BO86" s="527"/>
      <c r="BP86" s="527"/>
    </row>
    <row r="87" spans="1:68" s="399" customFormat="1" ht="23.25" customHeight="1">
      <c r="A87" s="320"/>
      <c r="D87" s="400"/>
      <c r="E87" s="222"/>
      <c r="F87" s="328"/>
      <c r="G87" s="328"/>
      <c r="H87" s="328"/>
      <c r="I87" s="328"/>
      <c r="J87" s="217"/>
      <c r="K87" s="328"/>
      <c r="L87" s="328"/>
      <c r="M87" s="328"/>
      <c r="N87" s="328"/>
      <c r="O87" s="328"/>
      <c r="P87" s="328"/>
      <c r="Q87" s="328"/>
      <c r="R87" s="328"/>
      <c r="S87" s="328"/>
      <c r="T87" s="328"/>
      <c r="U87" s="217"/>
      <c r="V87" s="667"/>
      <c r="W87" s="401"/>
      <c r="X87" s="401"/>
      <c r="Y87" s="401"/>
      <c r="Z87" s="401"/>
      <c r="AA87" s="667"/>
      <c r="AB87" s="667"/>
      <c r="AC87" s="217"/>
      <c r="AD87" s="328"/>
      <c r="AE87" s="328"/>
      <c r="AF87" s="328"/>
      <c r="AG87" s="217"/>
      <c r="AH87" s="217"/>
      <c r="AI87" s="328"/>
      <c r="AJ87" s="630"/>
      <c r="AK87" s="401"/>
      <c r="AL87" s="328"/>
      <c r="AM87" s="328"/>
      <c r="AN87" s="328"/>
      <c r="AO87" s="328"/>
      <c r="AP87" s="401"/>
      <c r="AQ87" s="401"/>
      <c r="AR87" s="328"/>
      <c r="AS87" s="401"/>
      <c r="AT87" s="328"/>
      <c r="AU87" s="401"/>
      <c r="AV87" s="401"/>
      <c r="AW87" s="513"/>
      <c r="AX87" s="430"/>
      <c r="AY87" s="430"/>
      <c r="AZ87" s="527"/>
      <c r="BA87" s="430"/>
      <c r="BB87" s="536"/>
      <c r="BC87" s="536"/>
      <c r="BD87" s="430"/>
      <c r="BE87" s="430"/>
      <c r="BF87" s="536"/>
      <c r="BG87" s="536"/>
      <c r="BH87" s="430"/>
      <c r="BI87" s="536"/>
      <c r="BJ87" s="430"/>
      <c r="BK87" s="430"/>
      <c r="BL87" s="527"/>
      <c r="BM87" s="527"/>
      <c r="BN87" s="527"/>
      <c r="BO87" s="527"/>
      <c r="BP87" s="527"/>
    </row>
    <row r="88" spans="1:68" s="399" customFormat="1" ht="29.25" customHeight="1">
      <c r="A88" s="320"/>
      <c r="D88" s="400" t="s">
        <v>167</v>
      </c>
      <c r="E88" s="222">
        <f>E81*$E$85-E58</f>
        <v>4386.3969999999972</v>
      </c>
      <c r="F88" s="222">
        <f>F81*$E$85-F58</f>
        <v>3.15320818</v>
      </c>
      <c r="G88" s="222">
        <f>G81*$E$85-G58</f>
        <v>0.65</v>
      </c>
      <c r="H88" s="222">
        <f>H81*$E$85-H58</f>
        <v>178.34545466079999</v>
      </c>
      <c r="I88" s="222">
        <f t="shared" ref="I88:P88" si="153">I81*$E$85-I58</f>
        <v>9.1000000000000014</v>
      </c>
      <c r="J88" s="220">
        <f>J81*$E$85-J58</f>
        <v>-228.15</v>
      </c>
      <c r="K88" s="222">
        <f t="shared" si="153"/>
        <v>-203.45</v>
      </c>
      <c r="L88" s="222">
        <f t="shared" si="153"/>
        <v>-7.8000000000000007</v>
      </c>
      <c r="M88" s="222">
        <f t="shared" si="153"/>
        <v>150.15</v>
      </c>
      <c r="N88" s="222">
        <f t="shared" si="153"/>
        <v>-223</v>
      </c>
      <c r="O88" s="222">
        <f t="shared" si="153"/>
        <v>-5.85</v>
      </c>
      <c r="P88" s="222">
        <f t="shared" si="153"/>
        <v>-3.25</v>
      </c>
      <c r="Q88" s="222">
        <f t="shared" ref="Q88:V88" si="154">Q81*$E$85-Q58</f>
        <v>-3.9000000000000004</v>
      </c>
      <c r="R88" s="222">
        <f t="shared" si="154"/>
        <v>-1154.4000000000001</v>
      </c>
      <c r="S88" s="222">
        <f t="shared" ref="S88" si="155">S81*$E$85-S58</f>
        <v>0</v>
      </c>
      <c r="T88" s="222">
        <f>T81*$E$85-T58</f>
        <v>-144.30000000000001</v>
      </c>
      <c r="U88" s="220">
        <f>U81*$E$85-U58</f>
        <v>-85</v>
      </c>
      <c r="V88" s="220">
        <f t="shared" si="154"/>
        <v>87.1</v>
      </c>
      <c r="W88" s="222">
        <f>W81*$E$85-W58</f>
        <v>-978.25</v>
      </c>
      <c r="X88" s="222">
        <f t="shared" ref="X88" si="156">X81*$E$85-X58</f>
        <v>1777.5456628407992</v>
      </c>
      <c r="Y88" s="222">
        <f t="shared" ref="Y88:Z88" si="157">Y81*$E$85-Y58</f>
        <v>418.68450000000001</v>
      </c>
      <c r="Z88" s="222">
        <f t="shared" si="157"/>
        <v>-8.4499999999999993</v>
      </c>
      <c r="AA88" s="220">
        <f t="shared" ref="AA88:AL88" si="158">AA81*$E$85-AA58</f>
        <v>259.35000000000002</v>
      </c>
      <c r="AB88" s="220">
        <f>AB81*$E$85-AB58</f>
        <v>0</v>
      </c>
      <c r="AC88" s="220">
        <f t="shared" si="158"/>
        <v>149.5</v>
      </c>
      <c r="AD88" s="222">
        <f>AD81*$E$85-AD58</f>
        <v>-8002.1500000000005</v>
      </c>
      <c r="AE88" s="222">
        <f t="shared" ref="AE88" si="159">AE81*$E$85-AE58</f>
        <v>153.4</v>
      </c>
      <c r="AF88" s="222">
        <f>AF81*$E$85-AF58</f>
        <v>1679.6</v>
      </c>
      <c r="AG88" s="220">
        <f>AG81*$E$85-AG58</f>
        <v>1008.3385371039999</v>
      </c>
      <c r="AH88" s="220">
        <f>AH81*$E$85-AH58</f>
        <v>519.02445703679996</v>
      </c>
      <c r="AI88" s="222">
        <f>AI81*$E$85-AI58</f>
        <v>-22.1</v>
      </c>
      <c r="AJ88" s="631"/>
      <c r="AK88" s="402">
        <f t="shared" si="158"/>
        <v>-2067.2568430184037</v>
      </c>
      <c r="AL88" s="222">
        <f t="shared" si="158"/>
        <v>0</v>
      </c>
      <c r="AM88" s="222">
        <f t="shared" ref="AM88:AS88" si="160">AM81*$E$85-AM58</f>
        <v>0</v>
      </c>
      <c r="AN88" s="222">
        <f>AN81*$E$85-AN58</f>
        <v>0</v>
      </c>
      <c r="AO88" s="222">
        <f t="shared" si="160"/>
        <v>0</v>
      </c>
      <c r="AP88" s="222">
        <f>AP81*$E$85-AP58</f>
        <v>0</v>
      </c>
      <c r="AQ88" s="222">
        <f>AQ81*$E$85-AQ58</f>
        <v>0</v>
      </c>
      <c r="AR88" s="222">
        <f t="shared" ref="AR88" si="161">AR81*$E$85-AR58</f>
        <v>0</v>
      </c>
      <c r="AS88" s="402">
        <f t="shared" si="160"/>
        <v>-2067.2568430184037</v>
      </c>
      <c r="AT88" s="222">
        <f t="shared" ref="AT88" si="162">AT81*$E$85-AT58</f>
        <v>0</v>
      </c>
      <c r="AU88" s="402">
        <f t="shared" ref="AU88:AV88" si="163">AU81*$E$85-AU58</f>
        <v>3396.1875299835738</v>
      </c>
      <c r="AV88" s="402">
        <f t="shared" si="163"/>
        <v>1328.9306869651737</v>
      </c>
      <c r="AW88" s="514"/>
      <c r="AX88" s="431"/>
      <c r="AY88" s="431"/>
      <c r="AZ88" s="527"/>
      <c r="BA88" s="431"/>
      <c r="BB88" s="887"/>
      <c r="BC88" s="887"/>
      <c r="BD88" s="887"/>
      <c r="BE88" s="887"/>
      <c r="BF88" s="887"/>
      <c r="BG88" s="887"/>
      <c r="BH88" s="431"/>
      <c r="BI88" s="887"/>
      <c r="BJ88" s="431"/>
      <c r="BK88" s="431"/>
      <c r="BL88" s="527"/>
      <c r="BM88" s="527"/>
      <c r="BN88" s="527"/>
      <c r="BO88" s="527"/>
      <c r="BP88" s="527"/>
    </row>
    <row r="89" spans="1:68" s="399" customFormat="1">
      <c r="A89" s="320"/>
      <c r="D89" s="400" t="s">
        <v>147</v>
      </c>
      <c r="E89" s="222">
        <f t="shared" ref="E89:H89" si="164">E88/$E$86</f>
        <v>7074.7996380662635</v>
      </c>
      <c r="F89" s="222">
        <f t="shared" si="164"/>
        <v>5.0857950364756306</v>
      </c>
      <c r="G89" s="222">
        <f t="shared" si="164"/>
        <v>1.0483820239579487</v>
      </c>
      <c r="H89" s="222">
        <f t="shared" si="164"/>
        <v>287.6525672630616</v>
      </c>
      <c r="I89" s="222">
        <f t="shared" ref="I89:P89" si="165">I88/$E$86</f>
        <v>14.677348335411283</v>
      </c>
      <c r="J89" s="220">
        <f>J88/$E$86</f>
        <v>-367.98209040923996</v>
      </c>
      <c r="K89" s="222">
        <f t="shared" si="165"/>
        <v>-328.1435734988379</v>
      </c>
      <c r="L89" s="222">
        <f t="shared" si="165"/>
        <v>-12.580584287495386</v>
      </c>
      <c r="M89" s="222">
        <f t="shared" si="165"/>
        <v>242.17624753428615</v>
      </c>
      <c r="N89" s="222">
        <f t="shared" si="165"/>
        <v>-359.67567898865008</v>
      </c>
      <c r="O89" s="222">
        <f t="shared" si="165"/>
        <v>-9.4354382156215379</v>
      </c>
      <c r="P89" s="222">
        <f t="shared" si="165"/>
        <v>-5.2419101197897433</v>
      </c>
      <c r="Q89" s="222">
        <f t="shared" ref="Q89:V89" si="166">Q88/$E$86</f>
        <v>-6.2902921437476929</v>
      </c>
      <c r="R89" s="222">
        <f t="shared" si="166"/>
        <v>-1861.9264745493169</v>
      </c>
      <c r="S89" s="222">
        <f t="shared" ref="S89" si="167">S88/$E$86</f>
        <v>0</v>
      </c>
      <c r="T89" s="222">
        <f>T88/$E$86</f>
        <v>-232.74080931866462</v>
      </c>
      <c r="U89" s="220">
        <f>U88/$E$86</f>
        <v>-137.09611082527022</v>
      </c>
      <c r="V89" s="220">
        <f t="shared" si="166"/>
        <v>140.48319121036511</v>
      </c>
      <c r="W89" s="222">
        <f>W88/$E$86</f>
        <v>-1577.8149460567126</v>
      </c>
      <c r="X89" s="222">
        <f t="shared" ref="X89" si="168">X88/$E$86</f>
        <v>2866.9952610564774</v>
      </c>
      <c r="Y89" s="222">
        <f t="shared" ref="Y89:Z89" si="169">Y88/$E$86</f>
        <v>675.29431309203346</v>
      </c>
      <c r="Z89" s="222">
        <f t="shared" si="169"/>
        <v>-13.628966311453331</v>
      </c>
      <c r="AA89" s="220">
        <f t="shared" ref="AA89:AL89" si="170">AA88/$E$86</f>
        <v>418.30442755922155</v>
      </c>
      <c r="AB89" s="220">
        <f>AB88/$E$86</f>
        <v>0</v>
      </c>
      <c r="AC89" s="220">
        <f t="shared" si="170"/>
        <v>241.12786551032818</v>
      </c>
      <c r="AD89" s="222">
        <f>AD88/$E$86</f>
        <v>-12906.631096946307</v>
      </c>
      <c r="AE89" s="222">
        <f t="shared" ref="AE89" si="171">AE88/$E$86</f>
        <v>247.41815765407588</v>
      </c>
      <c r="AF89" s="222">
        <f>AF88/$E$86</f>
        <v>2709.0191499073389</v>
      </c>
      <c r="AG89" s="220">
        <f>AG88/$E$86</f>
        <v>1626.3446097905976</v>
      </c>
      <c r="AH89" s="220">
        <f>AH88/$E$86</f>
        <v>837.13217038756261</v>
      </c>
      <c r="AI89" s="222">
        <f>AI88/$E$86</f>
        <v>-35.644988814570254</v>
      </c>
      <c r="AJ89" s="631"/>
      <c r="AK89" s="402">
        <f t="shared" si="170"/>
        <v>-3334.2690971146976</v>
      </c>
      <c r="AL89" s="222">
        <f t="shared" si="170"/>
        <v>0</v>
      </c>
      <c r="AM89" s="222">
        <f t="shared" ref="AM89:AS89" si="172">AM88/$E$86</f>
        <v>0</v>
      </c>
      <c r="AN89" s="222">
        <f>AN88/$E$86</f>
        <v>0</v>
      </c>
      <c r="AO89" s="222">
        <f t="shared" si="172"/>
        <v>0</v>
      </c>
      <c r="AP89" s="222">
        <f>AP88/$E$86</f>
        <v>0</v>
      </c>
      <c r="AQ89" s="222">
        <f>AQ88/$E$86</f>
        <v>0</v>
      </c>
      <c r="AR89" s="222">
        <f t="shared" ref="AR89" si="173">AR88/$E$86</f>
        <v>0</v>
      </c>
      <c r="AS89" s="402">
        <f t="shared" si="172"/>
        <v>-3334.2690971146976</v>
      </c>
      <c r="AT89" s="222">
        <f t="shared" ref="AT89" si="174">AT88/$E$86</f>
        <v>0</v>
      </c>
      <c r="AU89" s="402">
        <f t="shared" ref="AU89" si="175">AU88/$E$86</f>
        <v>5477.6953175768085</v>
      </c>
      <c r="AV89" s="402">
        <f>AV88/$E$86</f>
        <v>2143.4262204621168</v>
      </c>
      <c r="AW89" s="514"/>
      <c r="AX89" s="431"/>
      <c r="AY89" s="431"/>
      <c r="AZ89" s="527"/>
      <c r="BA89" s="431"/>
      <c r="BB89" s="887"/>
      <c r="BC89" s="887"/>
      <c r="BD89" s="887"/>
      <c r="BE89" s="887"/>
      <c r="BF89" s="887"/>
      <c r="BG89" s="887"/>
      <c r="BH89" s="431"/>
      <c r="BI89" s="887"/>
      <c r="BJ89" s="431"/>
      <c r="BK89" s="431"/>
      <c r="BL89" s="527"/>
      <c r="BM89" s="527"/>
      <c r="BN89" s="527"/>
      <c r="BO89" s="527"/>
      <c r="BP89" s="527"/>
    </row>
    <row r="90" spans="1:68" s="399" customFormat="1">
      <c r="A90" s="320"/>
      <c r="D90" s="400"/>
      <c r="E90" s="456"/>
      <c r="F90" s="456"/>
      <c r="G90" s="456"/>
      <c r="H90" s="456"/>
      <c r="I90" s="456"/>
      <c r="J90" s="166"/>
      <c r="K90" s="456"/>
      <c r="L90" s="456"/>
      <c r="M90" s="456"/>
      <c r="N90" s="456"/>
      <c r="O90" s="456"/>
      <c r="P90" s="456"/>
      <c r="Q90" s="456"/>
      <c r="R90" s="456"/>
      <c r="S90" s="456"/>
      <c r="T90" s="456"/>
      <c r="U90" s="166"/>
      <c r="V90" s="166"/>
      <c r="W90" s="456"/>
      <c r="X90" s="403"/>
      <c r="Y90" s="456"/>
      <c r="Z90" s="456"/>
      <c r="AA90" s="166"/>
      <c r="AB90" s="166"/>
      <c r="AC90" s="166"/>
      <c r="AD90" s="456"/>
      <c r="AE90" s="456"/>
      <c r="AF90" s="456"/>
      <c r="AG90" s="166"/>
      <c r="AH90" s="166"/>
      <c r="AI90" s="456"/>
      <c r="AJ90" s="632"/>
      <c r="AK90" s="404"/>
      <c r="AL90" s="456"/>
      <c r="AM90" s="456"/>
      <c r="AN90" s="456"/>
      <c r="AO90" s="456"/>
      <c r="AP90" s="456"/>
      <c r="AQ90" s="456"/>
      <c r="AR90" s="456"/>
      <c r="AS90" s="404"/>
      <c r="AT90" s="456"/>
      <c r="AU90" s="404"/>
      <c r="AV90" s="404"/>
      <c r="AW90" s="515"/>
      <c r="AX90" s="432"/>
      <c r="AY90" s="432"/>
      <c r="AZ90" s="527"/>
      <c r="BA90" s="432"/>
      <c r="BB90" s="522"/>
      <c r="BC90" s="522"/>
      <c r="BD90" s="522"/>
      <c r="BE90" s="522"/>
      <c r="BF90" s="522"/>
      <c r="BG90" s="522"/>
      <c r="BH90" s="432"/>
      <c r="BI90" s="522"/>
      <c r="BJ90" s="432"/>
      <c r="BK90" s="432"/>
      <c r="BL90" s="527"/>
      <c r="BM90" s="527"/>
      <c r="BN90" s="527"/>
      <c r="BO90" s="527"/>
      <c r="BP90" s="527"/>
    </row>
    <row r="91" spans="1:68" s="399" customFormat="1">
      <c r="A91" s="398"/>
      <c r="D91" s="400"/>
      <c r="E91" s="468"/>
      <c r="F91" s="456"/>
      <c r="G91" s="456"/>
      <c r="H91" s="456"/>
      <c r="I91" s="456"/>
      <c r="J91" s="166"/>
      <c r="K91" s="456"/>
      <c r="L91" s="456"/>
      <c r="M91" s="456"/>
      <c r="N91" s="456"/>
      <c r="O91" s="456"/>
      <c r="P91" s="456"/>
      <c r="Q91" s="456"/>
      <c r="R91" s="456"/>
      <c r="S91" s="456"/>
      <c r="T91" s="456"/>
      <c r="U91" s="166"/>
      <c r="V91" s="166"/>
      <c r="W91" s="456"/>
      <c r="X91" s="403"/>
      <c r="Y91" s="456"/>
      <c r="Z91" s="456"/>
      <c r="AA91" s="166"/>
      <c r="AB91" s="166"/>
      <c r="AC91" s="166"/>
      <c r="AD91" s="456"/>
      <c r="AE91" s="456"/>
      <c r="AF91" s="456"/>
      <c r="AG91" s="166"/>
      <c r="AH91" s="166"/>
      <c r="AI91" s="456"/>
      <c r="AJ91" s="632"/>
      <c r="AK91" s="404"/>
      <c r="AL91" s="456"/>
      <c r="AM91" s="456"/>
      <c r="AN91" s="456"/>
      <c r="AO91" s="456"/>
      <c r="AP91" s="456"/>
      <c r="AQ91" s="456"/>
      <c r="AR91" s="456"/>
      <c r="AS91" s="404"/>
      <c r="AT91" s="456"/>
      <c r="AU91" s="404"/>
      <c r="AV91" s="404"/>
      <c r="AW91" s="515"/>
      <c r="AX91" s="432"/>
      <c r="AY91" s="432"/>
      <c r="AZ91" s="527"/>
      <c r="BA91" s="432"/>
      <c r="BB91" s="522"/>
      <c r="BC91" s="522"/>
      <c r="BD91" s="522"/>
      <c r="BE91" s="522"/>
      <c r="BF91" s="522"/>
      <c r="BG91" s="522"/>
      <c r="BH91" s="432"/>
      <c r="BI91" s="522"/>
      <c r="BJ91" s="432"/>
      <c r="BK91" s="432"/>
      <c r="BL91" s="527"/>
      <c r="BM91" s="527"/>
      <c r="BN91" s="527"/>
      <c r="BO91" s="527"/>
      <c r="BP91" s="527"/>
    </row>
    <row r="92" spans="1:68" s="399" customFormat="1">
      <c r="A92" s="320"/>
      <c r="E92" s="456"/>
      <c r="F92" s="456"/>
      <c r="G92" s="456"/>
      <c r="H92" s="456"/>
      <c r="I92" s="456"/>
      <c r="J92" s="166"/>
      <c r="K92" s="456"/>
      <c r="L92" s="456"/>
      <c r="M92" s="456"/>
      <c r="N92" s="456"/>
      <c r="O92" s="456"/>
      <c r="P92" s="456"/>
      <c r="Q92" s="456"/>
      <c r="R92" s="456"/>
      <c r="S92" s="456"/>
      <c r="T92" s="456"/>
      <c r="U92" s="166"/>
      <c r="V92" s="166"/>
      <c r="W92" s="456"/>
      <c r="X92" s="403"/>
      <c r="Y92" s="456"/>
      <c r="Z92" s="456"/>
      <c r="AA92" s="166"/>
      <c r="AB92" s="166"/>
      <c r="AC92" s="166"/>
      <c r="AD92" s="456"/>
      <c r="AE92" s="456"/>
      <c r="AF92" s="456"/>
      <c r="AG92" s="166"/>
      <c r="AH92" s="166"/>
      <c r="AI92" s="456"/>
      <c r="AJ92" s="632"/>
      <c r="AK92" s="404"/>
      <c r="AL92" s="456"/>
      <c r="AM92" s="456"/>
      <c r="AN92" s="456"/>
      <c r="AO92" s="456"/>
      <c r="AP92" s="456"/>
      <c r="AQ92" s="456"/>
      <c r="AR92" s="456"/>
      <c r="AS92" s="404"/>
      <c r="AT92" s="456"/>
      <c r="AU92" s="404"/>
      <c r="AV92" s="404"/>
      <c r="AW92" s="515"/>
      <c r="AX92" s="432"/>
      <c r="AY92" s="432"/>
      <c r="AZ92" s="527"/>
      <c r="BA92" s="432"/>
      <c r="BB92" s="522"/>
      <c r="BC92" s="522"/>
      <c r="BD92" s="522"/>
      <c r="BE92" s="522"/>
      <c r="BF92" s="522"/>
      <c r="BG92" s="522"/>
      <c r="BH92" s="432"/>
      <c r="BI92" s="522"/>
      <c r="BJ92" s="432"/>
      <c r="BK92" s="432"/>
      <c r="BL92" s="527"/>
      <c r="BM92" s="527"/>
      <c r="BN92" s="527"/>
      <c r="BO92" s="527"/>
      <c r="BP92" s="527"/>
    </row>
    <row r="93" spans="1:68" s="399" customFormat="1">
      <c r="A93" s="320"/>
      <c r="D93" s="400"/>
      <c r="E93" s="456"/>
      <c r="F93" s="456"/>
      <c r="G93" s="456"/>
      <c r="H93" s="456"/>
      <c r="I93" s="456"/>
      <c r="J93" s="166"/>
      <c r="K93" s="456"/>
      <c r="L93" s="456"/>
      <c r="M93" s="456"/>
      <c r="N93" s="456"/>
      <c r="O93" s="456"/>
      <c r="P93" s="456"/>
      <c r="Q93" s="456"/>
      <c r="R93" s="456"/>
      <c r="S93" s="456"/>
      <c r="T93" s="456"/>
      <c r="U93" s="166"/>
      <c r="V93" s="166"/>
      <c r="W93" s="456"/>
      <c r="X93" s="403"/>
      <c r="Y93" s="456"/>
      <c r="Z93" s="456"/>
      <c r="AA93" s="166"/>
      <c r="AB93" s="166"/>
      <c r="AC93" s="166"/>
      <c r="AD93" s="456"/>
      <c r="AE93" s="456"/>
      <c r="AF93" s="456"/>
      <c r="AG93" s="166"/>
      <c r="AH93" s="166"/>
      <c r="AI93" s="456"/>
      <c r="AJ93" s="632"/>
      <c r="AK93" s="404"/>
      <c r="AL93" s="456"/>
      <c r="AM93" s="456"/>
      <c r="AN93" s="456"/>
      <c r="AO93" s="456"/>
      <c r="AP93" s="456"/>
      <c r="AQ93" s="456"/>
      <c r="AR93" s="456"/>
      <c r="AS93" s="404"/>
      <c r="AT93" s="456"/>
      <c r="AU93" s="404"/>
      <c r="AV93" s="404"/>
      <c r="AW93" s="515"/>
      <c r="AX93" s="432"/>
      <c r="AY93" s="432"/>
      <c r="AZ93" s="527"/>
      <c r="BA93" s="432"/>
      <c r="BB93" s="522"/>
      <c r="BC93" s="522"/>
      <c r="BD93" s="522"/>
      <c r="BE93" s="522"/>
      <c r="BF93" s="522"/>
      <c r="BG93" s="522"/>
      <c r="BH93" s="432"/>
      <c r="BI93" s="522"/>
      <c r="BJ93" s="432"/>
      <c r="BK93" s="432"/>
      <c r="BL93" s="527"/>
      <c r="BM93" s="527"/>
      <c r="BN93" s="527"/>
      <c r="BO93" s="527"/>
      <c r="BP93" s="527"/>
    </row>
    <row r="94" spans="1:68" s="527" customFormat="1" ht="12">
      <c r="A94" s="524"/>
      <c r="D94" s="523"/>
      <c r="E94" s="522"/>
      <c r="F94" s="522"/>
      <c r="G94" s="522"/>
      <c r="H94" s="522"/>
      <c r="I94" s="522"/>
      <c r="J94" s="668"/>
      <c r="K94" s="522"/>
      <c r="L94" s="522"/>
      <c r="M94" s="522"/>
      <c r="N94" s="522"/>
      <c r="O94" s="522"/>
      <c r="P94" s="522"/>
      <c r="Q94" s="522"/>
      <c r="R94" s="522"/>
      <c r="S94" s="522"/>
      <c r="T94" s="522"/>
      <c r="U94" s="668"/>
      <c r="V94" s="668"/>
      <c r="W94" s="522"/>
      <c r="X94" s="433"/>
      <c r="Y94" s="522"/>
      <c r="Z94" s="522"/>
      <c r="AA94" s="668"/>
      <c r="AB94" s="668"/>
      <c r="AC94" s="668"/>
      <c r="AD94" s="522"/>
      <c r="AE94" s="522"/>
      <c r="AF94" s="522"/>
      <c r="AG94" s="750"/>
      <c r="AH94" s="750"/>
      <c r="AI94" s="522"/>
      <c r="AJ94" s="633"/>
      <c r="AK94" s="432"/>
      <c r="AL94" s="522"/>
      <c r="AM94" s="522"/>
      <c r="AN94" s="522"/>
      <c r="AO94" s="522"/>
      <c r="AP94" s="522"/>
      <c r="AQ94" s="522"/>
      <c r="AR94" s="522"/>
      <c r="AS94" s="432"/>
      <c r="AT94" s="522"/>
      <c r="AU94" s="432"/>
      <c r="AV94" s="432"/>
      <c r="AW94" s="515"/>
      <c r="AX94" s="432"/>
      <c r="AY94" s="432"/>
      <c r="BA94" s="432"/>
      <c r="BB94" s="522"/>
      <c r="BC94" s="522"/>
      <c r="BD94" s="522"/>
      <c r="BE94" s="522"/>
      <c r="BF94" s="522"/>
      <c r="BG94" s="522"/>
      <c r="BH94" s="432"/>
      <c r="BI94" s="522"/>
      <c r="BJ94" s="432"/>
      <c r="BK94" s="432"/>
    </row>
    <row r="95" spans="1:68" s="527" customFormat="1">
      <c r="A95" s="524"/>
      <c r="D95" s="528"/>
      <c r="E95" s="522"/>
      <c r="F95" s="522"/>
      <c r="G95" s="522"/>
      <c r="H95" s="522"/>
      <c r="I95" s="522"/>
      <c r="J95" s="668"/>
      <c r="K95" s="522"/>
      <c r="L95" s="522"/>
      <c r="M95" s="522"/>
      <c r="N95" s="522"/>
      <c r="O95" s="522"/>
      <c r="P95" s="522"/>
      <c r="Q95" s="522"/>
      <c r="R95" s="522"/>
      <c r="S95" s="522"/>
      <c r="T95" s="522"/>
      <c r="U95" s="668"/>
      <c r="V95" s="668"/>
      <c r="W95" s="522"/>
      <c r="X95" s="433"/>
      <c r="Y95" s="522"/>
      <c r="Z95" s="522"/>
      <c r="AA95" s="668"/>
      <c r="AB95" s="668"/>
      <c r="AC95" s="668"/>
      <c r="AD95" s="522"/>
      <c r="AE95" s="522"/>
      <c r="AF95" s="522"/>
      <c r="AG95" s="668"/>
      <c r="AH95" s="668"/>
      <c r="AI95" s="522"/>
      <c r="AJ95" s="634"/>
      <c r="AK95" s="432"/>
      <c r="AL95" s="522"/>
      <c r="AM95" s="522"/>
      <c r="AN95" s="522"/>
      <c r="AO95" s="522"/>
      <c r="AP95" s="522"/>
      <c r="AQ95" s="522"/>
      <c r="AR95" s="522"/>
      <c r="AS95" s="432"/>
      <c r="AT95" s="522"/>
      <c r="AU95" s="432"/>
      <c r="AV95" s="432"/>
      <c r="AW95" s="515"/>
      <c r="AX95" s="432"/>
      <c r="AY95" s="432"/>
      <c r="BA95" s="432"/>
      <c r="BB95" s="522"/>
      <c r="BC95" s="522"/>
      <c r="BD95" s="522"/>
      <c r="BE95" s="522"/>
      <c r="BF95" s="522"/>
      <c r="BG95" s="522"/>
      <c r="BH95" s="432"/>
      <c r="BI95" s="522"/>
      <c r="BJ95" s="432"/>
      <c r="BK95" s="432"/>
    </row>
    <row r="96" spans="1:68" s="527" customFormat="1">
      <c r="A96" s="524"/>
      <c r="E96" s="386"/>
      <c r="F96" s="386"/>
      <c r="G96" s="386"/>
      <c r="H96" s="386"/>
      <c r="I96" s="386"/>
      <c r="J96" s="676"/>
      <c r="K96" s="386"/>
      <c r="L96" s="386"/>
      <c r="M96" s="386"/>
      <c r="N96" s="386"/>
      <c r="O96" s="386"/>
      <c r="P96" s="386"/>
      <c r="Q96" s="386"/>
      <c r="R96" s="386"/>
      <c r="S96" s="386"/>
      <c r="T96" s="386"/>
      <c r="U96" s="676"/>
      <c r="V96" s="669"/>
      <c r="W96" s="433"/>
      <c r="X96" s="433"/>
      <c r="Y96" s="433"/>
      <c r="Z96" s="433"/>
      <c r="AA96" s="669"/>
      <c r="AB96" s="669"/>
      <c r="AC96" s="676"/>
      <c r="AD96" s="386"/>
      <c r="AE96" s="386"/>
      <c r="AF96" s="386"/>
      <c r="AG96" s="676"/>
      <c r="AH96" s="676"/>
      <c r="AI96" s="386"/>
      <c r="AJ96" s="617"/>
      <c r="AK96" s="526"/>
      <c r="AL96" s="386"/>
      <c r="AM96" s="386"/>
      <c r="AN96" s="386"/>
      <c r="AO96" s="386"/>
      <c r="AP96" s="433"/>
      <c r="AQ96" s="433"/>
      <c r="AR96" s="386"/>
      <c r="AS96" s="433"/>
      <c r="AT96" s="386"/>
      <c r="AU96" s="433"/>
      <c r="AV96" s="433"/>
      <c r="AW96" s="510"/>
      <c r="AX96" s="433"/>
      <c r="AY96" s="433"/>
      <c r="BA96" s="526"/>
      <c r="BB96" s="386"/>
      <c r="BC96" s="386"/>
      <c r="BD96" s="433"/>
      <c r="BE96" s="433"/>
      <c r="BF96" s="386"/>
      <c r="BG96" s="386"/>
      <c r="BH96" s="433"/>
      <c r="BI96" s="386"/>
      <c r="BJ96" s="433"/>
      <c r="BK96" s="433"/>
    </row>
    <row r="97" spans="1:68" s="527" customFormat="1">
      <c r="A97" s="524"/>
      <c r="E97" s="386"/>
      <c r="F97" s="386"/>
      <c r="G97" s="386"/>
      <c r="H97" s="386"/>
      <c r="I97" s="386"/>
      <c r="J97" s="676"/>
      <c r="K97" s="386"/>
      <c r="L97" s="386"/>
      <c r="M97" s="386"/>
      <c r="N97" s="386"/>
      <c r="O97" s="386"/>
      <c r="P97" s="386"/>
      <c r="Q97" s="386"/>
      <c r="R97" s="386"/>
      <c r="S97" s="386"/>
      <c r="T97" s="386"/>
      <c r="U97" s="676"/>
      <c r="V97" s="669"/>
      <c r="W97" s="433"/>
      <c r="X97" s="433"/>
      <c r="Y97" s="433"/>
      <c r="Z97" s="433"/>
      <c r="AA97" s="669"/>
      <c r="AB97" s="669"/>
      <c r="AC97" s="676"/>
      <c r="AD97" s="386"/>
      <c r="AE97" s="386"/>
      <c r="AF97" s="386"/>
      <c r="AG97" s="676"/>
      <c r="AH97" s="676"/>
      <c r="AI97" s="386"/>
      <c r="AJ97" s="617"/>
      <c r="AK97" s="362"/>
      <c r="AL97" s="386"/>
      <c r="AM97" s="386"/>
      <c r="AN97" s="386"/>
      <c r="AO97" s="386"/>
      <c r="AP97" s="433"/>
      <c r="AQ97" s="433"/>
      <c r="AR97" s="386"/>
      <c r="AS97" s="433"/>
      <c r="AT97" s="386"/>
      <c r="AU97" s="433"/>
      <c r="AV97" s="433"/>
      <c r="AW97" s="510"/>
      <c r="AX97" s="433"/>
      <c r="AY97" s="433"/>
      <c r="BA97" s="362"/>
      <c r="BB97" s="386"/>
      <c r="BC97" s="386"/>
      <c r="BD97" s="433"/>
      <c r="BE97" s="433"/>
      <c r="BF97" s="386"/>
      <c r="BG97" s="386"/>
      <c r="BH97" s="433"/>
      <c r="BI97" s="386"/>
      <c r="BJ97" s="433"/>
      <c r="BK97" s="433"/>
    </row>
    <row r="98" spans="1:68" s="392" customFormat="1">
      <c r="A98" s="5"/>
      <c r="E98" s="521"/>
      <c r="F98" s="521"/>
      <c r="G98" s="521"/>
      <c r="H98" s="521"/>
      <c r="I98" s="521"/>
      <c r="J98" s="677"/>
      <c r="K98" s="521"/>
      <c r="L98" s="521"/>
      <c r="M98" s="521"/>
      <c r="N98" s="521"/>
      <c r="O98" s="521"/>
      <c r="P98" s="521"/>
      <c r="Q98" s="521"/>
      <c r="R98" s="521"/>
      <c r="S98" s="521"/>
      <c r="T98" s="521"/>
      <c r="U98" s="677"/>
      <c r="V98" s="670"/>
      <c r="W98" s="525"/>
      <c r="X98" s="525"/>
      <c r="Y98" s="525"/>
      <c r="Z98" s="525"/>
      <c r="AA98" s="670"/>
      <c r="AB98" s="670"/>
      <c r="AC98" s="677"/>
      <c r="AD98" s="521"/>
      <c r="AE98" s="386"/>
      <c r="AF98" s="386"/>
      <c r="AG98" s="676"/>
      <c r="AH98" s="676"/>
      <c r="AI98" s="521"/>
      <c r="AJ98" s="617"/>
      <c r="AK98" s="362"/>
      <c r="AL98" s="386"/>
      <c r="AM98" s="386"/>
      <c r="AN98" s="386"/>
      <c r="AO98" s="521"/>
      <c r="AP98" s="525"/>
      <c r="AQ98" s="525"/>
      <c r="AR98" s="521"/>
      <c r="AS98" s="525"/>
      <c r="AT98" s="386"/>
      <c r="AU98" s="525"/>
      <c r="AV98" s="525"/>
      <c r="AW98" s="510"/>
      <c r="AX98" s="433"/>
      <c r="AY98" s="433"/>
      <c r="AZ98" s="527"/>
      <c r="BA98" s="362"/>
      <c r="BB98" s="386"/>
      <c r="BC98" s="386"/>
      <c r="BD98" s="433"/>
      <c r="BE98" s="433"/>
      <c r="BF98" s="386"/>
      <c r="BG98" s="386"/>
      <c r="BH98" s="433"/>
      <c r="BI98" s="386"/>
      <c r="BJ98" s="433"/>
      <c r="BK98" s="433"/>
      <c r="BL98" s="527"/>
      <c r="BM98" s="527"/>
      <c r="BN98" s="527"/>
      <c r="BO98" s="527"/>
      <c r="BP98" s="527"/>
    </row>
    <row r="99" spans="1:68" s="392" customFormat="1">
      <c r="A99" s="5"/>
      <c r="E99" s="521"/>
      <c r="F99" s="521"/>
      <c r="G99" s="521"/>
      <c r="H99" s="521"/>
      <c r="I99" s="521"/>
      <c r="J99" s="677"/>
      <c r="K99" s="521"/>
      <c r="L99" s="521"/>
      <c r="M99" s="521"/>
      <c r="N99" s="521"/>
      <c r="O99" s="521"/>
      <c r="P99" s="521"/>
      <c r="Q99" s="521"/>
      <c r="R99" s="521"/>
      <c r="S99" s="521"/>
      <c r="T99" s="521"/>
      <c r="U99" s="677"/>
      <c r="V99" s="670"/>
      <c r="W99" s="525"/>
      <c r="X99" s="525"/>
      <c r="Y99" s="525"/>
      <c r="Z99" s="525"/>
      <c r="AA99" s="670"/>
      <c r="AB99" s="670"/>
      <c r="AC99" s="677"/>
      <c r="AD99" s="521"/>
      <c r="AE99" s="386"/>
      <c r="AF99" s="386"/>
      <c r="AG99" s="676"/>
      <c r="AH99" s="676"/>
      <c r="AI99" s="521"/>
      <c r="AJ99" s="617"/>
      <c r="AK99" s="385"/>
      <c r="AL99" s="386"/>
      <c r="AM99" s="386"/>
      <c r="AN99" s="386"/>
      <c r="AO99" s="521"/>
      <c r="AP99" s="525"/>
      <c r="AQ99" s="525"/>
      <c r="AR99" s="521"/>
      <c r="AS99" s="525"/>
      <c r="AT99" s="386"/>
      <c r="AU99" s="525"/>
      <c r="AV99" s="525"/>
      <c r="AW99" s="510"/>
      <c r="AX99" s="433"/>
      <c r="AY99" s="433"/>
      <c r="AZ99" s="527"/>
      <c r="BA99" s="385"/>
      <c r="BB99" s="386"/>
      <c r="BC99" s="386"/>
      <c r="BD99" s="433"/>
      <c r="BE99" s="433"/>
      <c r="BF99" s="386"/>
      <c r="BG99" s="386"/>
      <c r="BH99" s="433"/>
      <c r="BI99" s="386"/>
      <c r="BJ99" s="433"/>
      <c r="BK99" s="433"/>
      <c r="BL99" s="527"/>
      <c r="BM99" s="527"/>
      <c r="BN99" s="527"/>
      <c r="BO99" s="527"/>
      <c r="BP99" s="527"/>
    </row>
    <row r="100" spans="1:68" s="392" customFormat="1">
      <c r="A100" s="5"/>
      <c r="E100" s="521"/>
      <c r="F100" s="521"/>
      <c r="G100" s="521"/>
      <c r="H100" s="521"/>
      <c r="I100" s="521"/>
      <c r="J100" s="677"/>
      <c r="K100" s="521"/>
      <c r="L100" s="521"/>
      <c r="M100" s="521"/>
      <c r="N100" s="521"/>
      <c r="O100" s="521"/>
      <c r="P100" s="521"/>
      <c r="Q100" s="521"/>
      <c r="R100" s="521"/>
      <c r="S100" s="521"/>
      <c r="T100" s="521"/>
      <c r="U100" s="677"/>
      <c r="V100" s="670"/>
      <c r="W100" s="525"/>
      <c r="X100" s="525"/>
      <c r="Y100" s="525"/>
      <c r="Z100" s="525"/>
      <c r="AA100" s="670"/>
      <c r="AB100" s="670"/>
      <c r="AC100" s="677"/>
      <c r="AD100" s="521"/>
      <c r="AE100" s="386"/>
      <c r="AF100" s="386"/>
      <c r="AG100" s="676"/>
      <c r="AH100" s="676"/>
      <c r="AI100" s="521"/>
      <c r="AJ100" s="617"/>
      <c r="AK100" s="362"/>
      <c r="AL100" s="386"/>
      <c r="AM100" s="386"/>
      <c r="AN100" s="386"/>
      <c r="AO100" s="521"/>
      <c r="AP100" s="525"/>
      <c r="AQ100" s="525"/>
      <c r="AR100" s="521"/>
      <c r="AS100" s="525"/>
      <c r="AT100" s="386"/>
      <c r="AU100" s="525"/>
      <c r="AV100" s="525"/>
      <c r="AW100" s="510"/>
      <c r="AX100" s="433"/>
      <c r="AY100" s="433"/>
      <c r="AZ100" s="527"/>
      <c r="BA100" s="362"/>
      <c r="BB100" s="386"/>
      <c r="BC100" s="386"/>
      <c r="BD100" s="433"/>
      <c r="BE100" s="433"/>
      <c r="BF100" s="386"/>
      <c r="BG100" s="386"/>
      <c r="BH100" s="433"/>
      <c r="BI100" s="386"/>
      <c r="BJ100" s="433"/>
      <c r="BK100" s="433"/>
      <c r="BL100" s="527"/>
      <c r="BM100" s="527"/>
      <c r="BN100" s="527"/>
      <c r="BO100" s="527"/>
      <c r="BP100" s="527"/>
    </row>
    <row r="101" spans="1:68">
      <c r="AL101" s="386"/>
    </row>
    <row r="102" spans="1:68">
      <c r="AL102" s="386"/>
    </row>
    <row r="103" spans="1:68">
      <c r="AL103" s="386"/>
    </row>
    <row r="104" spans="1:68">
      <c r="AL104" s="386"/>
    </row>
  </sheetData>
  <customSheetViews>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2">
    <mergeCell ref="AW58:AX58"/>
    <mergeCell ref="BG85:BL86"/>
  </mergeCells>
  <phoneticPr fontId="0" type="noConversion"/>
  <pageMargins left="0.75" right="0.5" top="0.72" bottom="0.84" header="0.5" footer="0.5"/>
  <pageSetup scale="62" firstPageNumber="4" fitToWidth="5" orientation="portrait" r:id="rId3"/>
  <headerFooter scaleWithDoc="0" alignWithMargins="0">
    <oddHeader xml:space="preserve">&amp;RExhibit No. JH-3
Dockets UE-160228/UG-160229
Page &amp;P of &amp;N
Revised
</oddHeader>
    <oddFooter xml:space="preserve">&amp;L&amp;6*The revised numbers are shaded in &amp;"Arial,Bold"&amp;U&amp;K09+000yellow&amp;"Arial,Regular"&amp;U&amp;K000000.  The amounts that are affected by the revised numbers are shaded in &amp;"Arial,Bold"&amp;U&amp;K00B050green&amp;"Arial,Regular"&amp;U&amp;K000000.  
</oddFooter>
  </headerFooter>
  <colBreaks count="7" manualBreakCount="7">
    <brk id="11" max="82" man="1"/>
    <brk id="17" max="82" man="1"/>
    <brk id="24" max="82" man="1"/>
    <brk id="31" max="82" man="1"/>
    <brk id="37" max="82" man="1"/>
    <brk id="44" max="82" man="1"/>
    <brk id="58" max="86"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63"/>
  <sheetViews>
    <sheetView tabSelected="1" view="pageBreakPreview" topLeftCell="A55" zoomScale="115" zoomScaleNormal="100" zoomScaleSheetLayoutView="115" workbookViewId="0">
      <selection activeCell="B64" sqref="B64"/>
    </sheetView>
  </sheetViews>
  <sheetFormatPr defaultColWidth="11.453125" defaultRowHeight="13"/>
  <cols>
    <col min="1" max="1" width="6.453125" style="36" customWidth="1"/>
    <col min="2" max="2" width="34.81640625" style="36" customWidth="1"/>
    <col min="3" max="3" width="12.26953125" style="36" customWidth="1"/>
    <col min="4" max="4" width="11.453125" style="36" customWidth="1"/>
    <col min="5" max="5" width="12.54296875" style="36" customWidth="1"/>
    <col min="6" max="6" width="11.453125" style="36" customWidth="1"/>
    <col min="7" max="7" width="14" style="36" customWidth="1"/>
    <col min="8" max="8" width="13.26953125" style="36" customWidth="1"/>
    <col min="9" max="9" width="14.26953125" style="492" customWidth="1"/>
    <col min="10" max="10" width="13.26953125" style="492" customWidth="1"/>
    <col min="11" max="11" width="11.453125" style="120"/>
    <col min="12" max="12" width="5.81640625" style="120" bestFit="1" customWidth="1"/>
    <col min="13" max="13" width="18.54296875" style="120" customWidth="1"/>
    <col min="14" max="16" width="11.453125" style="47"/>
    <col min="17" max="30" width="11.453125" style="36"/>
    <col min="31" max="31" width="11.453125" style="635"/>
    <col min="32" max="16384" width="11.453125" style="36"/>
  </cols>
  <sheetData>
    <row r="1" spans="1:47" ht="17.5">
      <c r="A1" s="946"/>
      <c r="B1" s="946"/>
      <c r="C1" s="946"/>
      <c r="D1" s="946"/>
      <c r="E1" s="946"/>
      <c r="F1" s="946"/>
      <c r="G1" s="946"/>
      <c r="H1" s="946"/>
      <c r="I1" s="946"/>
      <c r="J1" s="946"/>
      <c r="K1" s="324"/>
      <c r="L1" s="496"/>
    </row>
    <row r="2" spans="1:47" ht="17.5">
      <c r="A2" s="782" t="s">
        <v>114</v>
      </c>
      <c r="B2" s="782"/>
      <c r="C2" s="782"/>
      <c r="D2" s="782"/>
      <c r="E2" s="782"/>
      <c r="F2" s="782"/>
      <c r="G2" s="782"/>
      <c r="H2" s="782"/>
      <c r="I2" s="782"/>
      <c r="J2" s="782"/>
      <c r="K2" s="324"/>
      <c r="L2" s="496"/>
    </row>
    <row r="3" spans="1:47" ht="17.5">
      <c r="A3" s="782" t="s">
        <v>556</v>
      </c>
      <c r="B3" s="782"/>
      <c r="C3" s="782"/>
      <c r="D3" s="782"/>
      <c r="E3" s="782"/>
      <c r="F3" s="782"/>
      <c r="G3" s="782"/>
      <c r="H3" s="782"/>
      <c r="I3" s="782"/>
      <c r="J3" s="782"/>
      <c r="K3" s="324"/>
      <c r="L3" s="496"/>
    </row>
    <row r="4" spans="1:47" s="47" customFormat="1" ht="17.649999999999999" customHeight="1">
      <c r="A4" s="783" t="str">
        <f>ROO!A4</f>
        <v>TWELVE MONTHS ENDED SEPTEMBER 30, 2015</v>
      </c>
      <c r="B4" s="783"/>
      <c r="C4" s="783"/>
      <c r="D4" s="783"/>
      <c r="E4" s="783"/>
      <c r="F4" s="783"/>
      <c r="G4" s="783"/>
      <c r="H4" s="783"/>
      <c r="I4" s="783"/>
      <c r="J4" s="783"/>
      <c r="K4" s="446"/>
      <c r="L4" s="446"/>
      <c r="M4" s="118"/>
      <c r="AE4" s="636"/>
    </row>
    <row r="5" spans="1:47" ht="14.15" customHeight="1">
      <c r="A5" s="784" t="s">
        <v>153</v>
      </c>
      <c r="B5" s="653"/>
      <c r="C5" s="653"/>
      <c r="D5" s="653"/>
      <c r="E5" s="653"/>
      <c r="F5" s="492"/>
      <c r="G5" s="653"/>
      <c r="H5" s="653"/>
      <c r="I5" s="653"/>
      <c r="J5" s="653"/>
      <c r="K5" s="496"/>
      <c r="L5" s="496"/>
    </row>
    <row r="6" spans="1:47">
      <c r="A6" s="653"/>
      <c r="B6" s="653"/>
      <c r="C6" s="653"/>
      <c r="D6" s="653"/>
      <c r="E6" s="653"/>
      <c r="F6" s="653"/>
      <c r="G6" s="653"/>
      <c r="H6" s="653"/>
      <c r="I6" s="653"/>
      <c r="J6" s="653"/>
      <c r="K6" s="496"/>
      <c r="L6" s="496"/>
      <c r="AG6" s="437" t="s">
        <v>550</v>
      </c>
      <c r="AH6" s="437" t="s">
        <v>550</v>
      </c>
      <c r="AI6" s="437" t="s">
        <v>550</v>
      </c>
      <c r="AJ6" s="437" t="s">
        <v>550</v>
      </c>
      <c r="AK6" s="437" t="s">
        <v>550</v>
      </c>
      <c r="AL6" s="437" t="s">
        <v>550</v>
      </c>
      <c r="AM6" s="437" t="s">
        <v>550</v>
      </c>
      <c r="AN6" s="437"/>
      <c r="AO6" s="437" t="s">
        <v>550</v>
      </c>
    </row>
    <row r="7" spans="1:47" s="47" customFormat="1">
      <c r="A7" s="653"/>
      <c r="B7" s="653"/>
      <c r="C7" s="653"/>
      <c r="D7" s="653"/>
      <c r="E7" s="653"/>
      <c r="F7" s="652"/>
      <c r="G7" s="653"/>
      <c r="H7" s="653"/>
      <c r="I7" s="653"/>
      <c r="J7" s="653"/>
      <c r="K7" s="446"/>
      <c r="L7" s="446"/>
      <c r="M7" s="446"/>
      <c r="N7" s="440"/>
      <c r="O7" s="440"/>
      <c r="P7" s="440"/>
      <c r="Q7" s="440"/>
      <c r="R7" s="440"/>
      <c r="S7" s="440"/>
      <c r="T7" s="440"/>
      <c r="U7" s="440"/>
      <c r="V7" s="440"/>
      <c r="W7" s="440"/>
      <c r="X7" s="440"/>
      <c r="Y7" s="440"/>
      <c r="Z7" s="440"/>
      <c r="AA7" s="440"/>
      <c r="AB7" s="440"/>
      <c r="AC7" s="440"/>
      <c r="AD7" s="440"/>
      <c r="AE7" s="636"/>
      <c r="AF7" s="440"/>
      <c r="AG7" s="440"/>
      <c r="AH7" s="440"/>
      <c r="AI7" s="440"/>
      <c r="AJ7" s="440"/>
      <c r="AK7" s="440"/>
    </row>
    <row r="8" spans="1:47" s="47" customFormat="1">
      <c r="A8" s="653"/>
      <c r="B8" s="653"/>
      <c r="C8" s="947" t="s">
        <v>173</v>
      </c>
      <c r="D8" s="947"/>
      <c r="E8" s="755" t="s">
        <v>552</v>
      </c>
      <c r="F8" s="948" t="s">
        <v>558</v>
      </c>
      <c r="G8" s="948"/>
      <c r="H8" s="755" t="s">
        <v>552</v>
      </c>
      <c r="I8" s="755" t="s">
        <v>552</v>
      </c>
      <c r="J8" s="653"/>
      <c r="K8" s="446"/>
      <c r="L8" s="446"/>
      <c r="M8" s="446"/>
      <c r="N8" s="440"/>
      <c r="O8" s="440"/>
      <c r="P8" s="440"/>
      <c r="Q8" s="440"/>
      <c r="R8" s="440"/>
      <c r="S8" s="440"/>
      <c r="T8" s="440"/>
      <c r="U8" s="440"/>
      <c r="V8" s="440"/>
      <c r="W8" s="440"/>
      <c r="X8" s="440"/>
      <c r="Y8" s="440"/>
      <c r="Z8" s="440"/>
      <c r="AA8" s="440"/>
      <c r="AB8" s="440"/>
      <c r="AC8" s="440"/>
      <c r="AD8" s="440"/>
      <c r="AE8" s="636"/>
      <c r="AF8" s="440"/>
      <c r="AG8" s="440"/>
      <c r="AH8" s="440"/>
      <c r="AI8" s="440"/>
      <c r="AJ8" s="440"/>
      <c r="AK8" s="440"/>
    </row>
    <row r="9" spans="1:47" s="47" customFormat="1">
      <c r="A9" s="653"/>
      <c r="B9" s="653"/>
      <c r="C9" s="945" t="s">
        <v>71</v>
      </c>
      <c r="D9" s="945"/>
      <c r="E9" s="756" t="s">
        <v>551</v>
      </c>
      <c r="F9" s="945" t="s">
        <v>71</v>
      </c>
      <c r="G9" s="945"/>
      <c r="H9" s="756" t="s">
        <v>551</v>
      </c>
      <c r="I9" s="756" t="s">
        <v>551</v>
      </c>
      <c r="J9" s="755" t="s">
        <v>554</v>
      </c>
      <c r="K9" s="446"/>
      <c r="L9" s="446"/>
      <c r="M9" s="446"/>
      <c r="N9" s="440"/>
      <c r="O9" s="440"/>
      <c r="P9" s="440"/>
      <c r="Q9" s="440"/>
      <c r="R9" s="440"/>
      <c r="S9" s="440"/>
      <c r="T9" s="440"/>
      <c r="U9" s="440"/>
      <c r="V9" s="440"/>
      <c r="W9" s="440"/>
      <c r="X9" s="440"/>
      <c r="Y9" s="440"/>
      <c r="Z9" s="440"/>
      <c r="AA9" s="440"/>
      <c r="AB9" s="440"/>
      <c r="AC9" s="440"/>
      <c r="AD9" s="440"/>
      <c r="AE9" s="636"/>
      <c r="AF9" s="440"/>
      <c r="AG9" s="440"/>
      <c r="AH9" s="440"/>
      <c r="AI9" s="440"/>
      <c r="AJ9" s="440"/>
      <c r="AK9" s="440"/>
    </row>
    <row r="10" spans="1:47">
      <c r="A10" s="840" t="s">
        <v>175</v>
      </c>
      <c r="B10" s="840" t="s">
        <v>73</v>
      </c>
      <c r="C10" s="840" t="s">
        <v>74</v>
      </c>
      <c r="D10" s="840" t="s">
        <v>20</v>
      </c>
      <c r="E10" s="757" t="s">
        <v>557</v>
      </c>
      <c r="F10" s="757" t="s">
        <v>74</v>
      </c>
      <c r="G10" s="757" t="s">
        <v>20</v>
      </c>
      <c r="H10" s="757" t="s">
        <v>557</v>
      </c>
      <c r="I10" s="757" t="s">
        <v>564</v>
      </c>
      <c r="J10" s="758"/>
      <c r="K10" s="446"/>
      <c r="L10" s="446"/>
      <c r="M10" s="446"/>
      <c r="N10" s="440"/>
      <c r="O10" s="440"/>
      <c r="P10" s="440"/>
      <c r="Q10" s="440"/>
      <c r="R10" s="440"/>
      <c r="S10" s="440"/>
      <c r="T10" s="440"/>
      <c r="U10" s="440"/>
      <c r="V10" s="440"/>
      <c r="W10" s="440"/>
      <c r="X10" s="440"/>
      <c r="Y10" s="440"/>
      <c r="Z10" s="440"/>
      <c r="AA10" s="440"/>
      <c r="AB10" s="440"/>
      <c r="AC10" s="440"/>
      <c r="AD10" s="440"/>
      <c r="AE10" s="646"/>
      <c r="AF10" s="440"/>
      <c r="AG10" s="440"/>
      <c r="AH10" s="440"/>
      <c r="AI10" s="440"/>
      <c r="AJ10" s="440"/>
      <c r="AK10" s="440"/>
    </row>
    <row r="11" spans="1:47">
      <c r="A11" s="759">
        <f>'ADJ DETAIL INPUT'!E$10</f>
        <v>1</v>
      </c>
      <c r="B11" s="760" t="str">
        <f>TRIM(CONCATENATE('ADJ DETAIL INPUT'!E$7," ",'ADJ DETAIL INPUT'!E$8," ",'ADJ DETAIL INPUT'!E$9))</f>
        <v>Per Results Report</v>
      </c>
      <c r="C11" s="761">
        <v>14549</v>
      </c>
      <c r="D11" s="761">
        <v>259389</v>
      </c>
      <c r="E11" s="653">
        <f>ROUND((-+C11+(D11*7.64%))/0.620003,0)</f>
        <v>8497</v>
      </c>
      <c r="F11" s="761">
        <f>'ADJ DETAIL INPUT'!E$58</f>
        <v>14549</v>
      </c>
      <c r="G11" s="761">
        <f>'ADJ DETAIL INPUT'!E$81</f>
        <v>259389</v>
      </c>
      <c r="H11" s="653">
        <f>ROUND((-+F11+(G11*7.64%))/0.620003,0)</f>
        <v>8497</v>
      </c>
      <c r="I11" s="653">
        <f>ROUND((-+F11+(G11*7.3%))/0.620003,0)</f>
        <v>7075</v>
      </c>
      <c r="J11" s="653">
        <f>+H11-E11</f>
        <v>0</v>
      </c>
      <c r="K11" s="160"/>
      <c r="L11" s="446"/>
      <c r="M11" s="446"/>
      <c r="N11" s="446"/>
      <c r="O11" s="440"/>
      <c r="P11" s="440"/>
      <c r="Q11" s="440"/>
      <c r="R11" s="440"/>
      <c r="S11" s="440"/>
      <c r="T11" s="440"/>
      <c r="U11" s="440"/>
      <c r="V11" s="440"/>
      <c r="W11" s="440"/>
      <c r="X11" s="440"/>
      <c r="Y11" s="440"/>
      <c r="Z11" s="440"/>
      <c r="AA11" s="440"/>
      <c r="AB11" s="440"/>
      <c r="AC11" s="440"/>
      <c r="AD11" s="440"/>
      <c r="AE11" s="636"/>
      <c r="AF11" s="440"/>
      <c r="AG11" s="440"/>
      <c r="AH11" s="440"/>
      <c r="AI11" s="440"/>
      <c r="AJ11" s="440"/>
      <c r="AK11" s="440"/>
    </row>
    <row r="12" spans="1:47" s="63" customFormat="1">
      <c r="A12" s="759">
        <f>'ADJ DETAIL INPUT'!F$10</f>
        <v>1.01</v>
      </c>
      <c r="B12" s="760" t="str">
        <f>TRIM(CONCATENATE('ADJ DETAIL INPUT'!F$7," ",'ADJ DETAIL INPUT'!F$8," ",'ADJ DETAIL INPUT'!F$9))</f>
        <v>Deferred FIT Rate Base</v>
      </c>
      <c r="C12" s="761">
        <v>0.497</v>
      </c>
      <c r="D12" s="761">
        <v>50</v>
      </c>
      <c r="E12" s="653">
        <f t="shared" ref="E12:E14" si="0">ROUND((-+C12+(D12*7.64%))/0.620003,0)</f>
        <v>5</v>
      </c>
      <c r="F12" s="762">
        <f>'ADJ DETAIL INPUT'!F$58</f>
        <v>0.49679182</v>
      </c>
      <c r="G12" s="762">
        <f>'ADJ DETAIL INPUT'!F$81</f>
        <v>50</v>
      </c>
      <c r="H12" s="653">
        <f t="shared" ref="H12:H14" si="1">ROUND((-+F12+(G12*7.64%))/0.620003,0)</f>
        <v>5</v>
      </c>
      <c r="I12" s="653">
        <f t="shared" ref="I12:I14" si="2">ROUND((-+F12+(G12*7.3%))/0.620003,0)</f>
        <v>5</v>
      </c>
      <c r="J12" s="653">
        <f t="shared" ref="J12:J14" si="3">+H12-E12</f>
        <v>0</v>
      </c>
      <c r="K12" s="160"/>
      <c r="L12" s="122"/>
      <c r="M12" s="122"/>
      <c r="N12" s="122"/>
      <c r="O12" s="64"/>
      <c r="P12" s="64"/>
      <c r="Q12" s="64"/>
      <c r="R12" s="64"/>
      <c r="S12" s="64"/>
      <c r="T12" s="64"/>
      <c r="U12" s="64"/>
      <c r="V12" s="64"/>
      <c r="W12" s="64"/>
      <c r="X12" s="64"/>
      <c r="Y12" s="64"/>
      <c r="Z12" s="64"/>
      <c r="AA12" s="64"/>
      <c r="AB12" s="64"/>
      <c r="AC12" s="64"/>
      <c r="AD12" s="64"/>
      <c r="AE12" s="636"/>
      <c r="AF12" s="64"/>
      <c r="AG12" s="64"/>
      <c r="AH12" s="64"/>
      <c r="AI12" s="64"/>
      <c r="AJ12" s="64"/>
      <c r="AK12" s="64"/>
    </row>
    <row r="13" spans="1:47" s="63" customFormat="1">
      <c r="A13" s="759">
        <f>'ADJ DETAIL INPUT'!G$10</f>
        <v>1.02</v>
      </c>
      <c r="B13" s="760" t="str">
        <f>TRIM(CONCATENATE('ADJ DETAIL INPUT'!G$7," ",'ADJ DETAIL INPUT'!G$8," ",'ADJ DETAIL INPUT'!G$9))</f>
        <v>Deferred Debits and Credits</v>
      </c>
      <c r="C13" s="761">
        <v>-0.65</v>
      </c>
      <c r="D13" s="761">
        <v>0</v>
      </c>
      <c r="E13" s="653">
        <f t="shared" si="0"/>
        <v>1</v>
      </c>
      <c r="F13" s="762">
        <f>'ADJ DETAIL INPUT'!G$58</f>
        <v>-0.65</v>
      </c>
      <c r="G13" s="762">
        <f>'ADJ DETAIL INPUT'!G$81</f>
        <v>0</v>
      </c>
      <c r="H13" s="653">
        <f t="shared" si="1"/>
        <v>1</v>
      </c>
      <c r="I13" s="653">
        <f t="shared" si="2"/>
        <v>1</v>
      </c>
      <c r="J13" s="653">
        <f t="shared" si="3"/>
        <v>0</v>
      </c>
      <c r="K13" s="160"/>
      <c r="L13" s="446"/>
      <c r="M13" s="122"/>
      <c r="N13" s="122"/>
      <c r="O13" s="64"/>
      <c r="P13" s="64"/>
      <c r="Q13" s="64"/>
      <c r="R13" s="64"/>
      <c r="S13" s="64"/>
      <c r="T13" s="64"/>
      <c r="U13" s="64"/>
      <c r="V13" s="64"/>
      <c r="W13" s="64"/>
      <c r="X13" s="64"/>
      <c r="Y13" s="64"/>
      <c r="Z13" s="64"/>
      <c r="AA13" s="64"/>
      <c r="AB13" s="64"/>
      <c r="AC13" s="64"/>
      <c r="AD13" s="64"/>
      <c r="AE13" s="636"/>
      <c r="AF13" s="64"/>
      <c r="AG13" s="64"/>
      <c r="AH13" s="64"/>
      <c r="AI13" s="64"/>
      <c r="AJ13" s="64"/>
      <c r="AK13" s="64"/>
    </row>
    <row r="14" spans="1:47" s="63" customFormat="1">
      <c r="A14" s="759">
        <f>'ADJ DETAIL INPUT'!H$10</f>
        <v>1.03</v>
      </c>
      <c r="B14" s="760" t="str">
        <f>TRIM(CONCATENATE('ADJ DETAIL INPUT'!H$7," ",'ADJ DETAIL INPUT'!H$8," ",'ADJ DETAIL INPUT'!H$9))</f>
        <v>Working Capital</v>
      </c>
      <c r="C14" s="761">
        <v>28.110319999999998</v>
      </c>
      <c r="D14" s="761">
        <v>2828</v>
      </c>
      <c r="E14" s="653">
        <f t="shared" si="0"/>
        <v>303</v>
      </c>
      <c r="F14" s="762">
        <f>'ADJ DETAIL INPUT'!H$58</f>
        <v>28.098545339199998</v>
      </c>
      <c r="G14" s="762">
        <f>'ADJ DETAIL INPUT'!H$81</f>
        <v>2828</v>
      </c>
      <c r="H14" s="653">
        <f t="shared" si="1"/>
        <v>303</v>
      </c>
      <c r="I14" s="653">
        <f t="shared" si="2"/>
        <v>288</v>
      </c>
      <c r="J14" s="653">
        <f t="shared" si="3"/>
        <v>0</v>
      </c>
      <c r="K14" s="160"/>
      <c r="L14" s="446"/>
      <c r="M14" s="446"/>
      <c r="N14" s="122"/>
      <c r="O14" s="64"/>
      <c r="P14" s="64"/>
      <c r="Q14" s="64"/>
      <c r="R14" s="64"/>
      <c r="S14" s="64"/>
      <c r="T14" s="64"/>
      <c r="U14" s="64"/>
      <c r="V14" s="64"/>
      <c r="W14" s="64"/>
      <c r="X14" s="64"/>
      <c r="Y14" s="64"/>
      <c r="Z14" s="64"/>
      <c r="AA14" s="64"/>
      <c r="AB14" s="64"/>
      <c r="AC14" s="64"/>
      <c r="AD14" s="64"/>
      <c r="AE14" s="636"/>
      <c r="AF14" s="64"/>
      <c r="AG14" s="64"/>
      <c r="AH14" s="64"/>
      <c r="AI14" s="64"/>
      <c r="AJ14" s="64"/>
      <c r="AK14" s="64"/>
      <c r="AU14" s="121"/>
    </row>
    <row r="15" spans="1:47" ht="15.75" customHeight="1">
      <c r="A15" s="759"/>
      <c r="B15" s="763"/>
      <c r="C15" s="761"/>
      <c r="D15" s="761"/>
      <c r="E15" s="764"/>
      <c r="F15" s="764"/>
      <c r="G15" s="764"/>
      <c r="H15" s="705"/>
      <c r="I15" s="705"/>
      <c r="J15" s="705"/>
      <c r="K15" s="160"/>
      <c r="L15" s="446"/>
      <c r="M15" s="446"/>
      <c r="N15" s="446"/>
      <c r="O15" s="440"/>
      <c r="P15" s="440"/>
      <c r="Q15" s="440"/>
      <c r="R15" s="440"/>
      <c r="S15" s="440"/>
      <c r="T15" s="440"/>
      <c r="U15" s="440"/>
      <c r="V15" s="440"/>
      <c r="W15" s="440"/>
      <c r="X15" s="440"/>
      <c r="Y15" s="440"/>
      <c r="Z15" s="440"/>
      <c r="AA15" s="440"/>
      <c r="AB15" s="440"/>
      <c r="AC15" s="440"/>
      <c r="AD15" s="440"/>
      <c r="AE15" s="636"/>
      <c r="AF15" s="64"/>
      <c r="AG15" s="440"/>
      <c r="AH15" s="440"/>
      <c r="AI15" s="440"/>
      <c r="AJ15" s="440"/>
      <c r="AK15" s="440"/>
      <c r="AU15" s="496"/>
    </row>
    <row r="16" spans="1:47" ht="8.25" customHeight="1">
      <c r="A16" s="759"/>
      <c r="B16" s="760"/>
      <c r="C16" s="761"/>
      <c r="D16" s="761"/>
      <c r="E16" s="762"/>
      <c r="F16" s="762"/>
      <c r="G16" s="762"/>
      <c r="H16" s="765"/>
      <c r="I16" s="765"/>
      <c r="J16" s="765"/>
      <c r="K16" s="446"/>
      <c r="L16" s="446"/>
      <c r="M16" s="446"/>
      <c r="N16" s="446"/>
      <c r="O16" s="440"/>
      <c r="P16" s="440"/>
      <c r="Q16" s="440"/>
      <c r="R16" s="440"/>
      <c r="S16" s="440"/>
      <c r="T16" s="440"/>
      <c r="U16" s="440"/>
      <c r="V16" s="440"/>
      <c r="W16" s="440"/>
      <c r="X16" s="440"/>
      <c r="Y16" s="440"/>
      <c r="Z16" s="440"/>
      <c r="AA16" s="440"/>
      <c r="AB16" s="440"/>
      <c r="AC16" s="440"/>
      <c r="AD16" s="440"/>
      <c r="AE16" s="636"/>
      <c r="AF16" s="64"/>
      <c r="AG16" s="440"/>
      <c r="AH16" s="440"/>
      <c r="AI16" s="440"/>
      <c r="AJ16" s="440"/>
      <c r="AK16" s="440"/>
      <c r="AU16" s="496"/>
    </row>
    <row r="17" spans="1:47">
      <c r="A17" s="759"/>
      <c r="B17" s="653" t="s">
        <v>76</v>
      </c>
      <c r="C17" s="766">
        <f>SUM(C11:C16)</f>
        <v>14576.95732</v>
      </c>
      <c r="D17" s="766">
        <f>SUM(D11:D16)</f>
        <v>262267</v>
      </c>
      <c r="E17" s="766">
        <f>SUM(E11:E16)</f>
        <v>8806</v>
      </c>
      <c r="F17" s="766">
        <f>SUM(F11:F16)</f>
        <v>14576.945337159201</v>
      </c>
      <c r="G17" s="766">
        <f>SUM(G11:G16)</f>
        <v>262267</v>
      </c>
      <c r="H17" s="766">
        <f t="shared" ref="H17:J17" si="4">SUM(H11:H16)</f>
        <v>8806</v>
      </c>
      <c r="I17" s="766">
        <f t="shared" si="4"/>
        <v>7369</v>
      </c>
      <c r="J17" s="766">
        <f t="shared" si="4"/>
        <v>0</v>
      </c>
      <c r="K17" s="446"/>
      <c r="L17" s="446"/>
      <c r="M17" s="446"/>
      <c r="N17" s="446"/>
      <c r="O17" s="440"/>
      <c r="P17" s="440"/>
      <c r="Q17" s="440"/>
      <c r="R17" s="440"/>
      <c r="S17" s="440"/>
      <c r="T17" s="440"/>
      <c r="U17" s="440"/>
      <c r="V17" s="440"/>
      <c r="W17" s="440"/>
      <c r="X17" s="440"/>
      <c r="Y17" s="440"/>
      <c r="Z17" s="440"/>
      <c r="AA17" s="440"/>
      <c r="AB17" s="440"/>
      <c r="AC17" s="440"/>
      <c r="AD17" s="440"/>
      <c r="AE17" s="636"/>
      <c r="AF17" s="440"/>
      <c r="AG17" s="440"/>
      <c r="AH17" s="440"/>
      <c r="AI17" s="440"/>
      <c r="AJ17" s="440"/>
      <c r="AK17" s="440"/>
      <c r="AU17" s="496"/>
    </row>
    <row r="18" spans="1:47" ht="5.25" customHeight="1">
      <c r="A18" s="759"/>
      <c r="B18" s="760"/>
      <c r="C18" s="761"/>
      <c r="D18" s="761"/>
      <c r="E18" s="761"/>
      <c r="F18" s="761"/>
      <c r="G18" s="761"/>
      <c r="H18" s="652"/>
      <c r="I18" s="652"/>
      <c r="J18" s="652"/>
      <c r="K18" s="446"/>
      <c r="L18" s="446"/>
      <c r="M18" s="446"/>
      <c r="N18" s="440"/>
      <c r="O18" s="440"/>
      <c r="P18" s="440"/>
      <c r="Q18" s="440"/>
      <c r="R18" s="440"/>
      <c r="S18" s="440"/>
      <c r="T18" s="440"/>
      <c r="U18" s="440"/>
      <c r="V18" s="440"/>
      <c r="W18" s="440"/>
      <c r="X18" s="440"/>
      <c r="Y18" s="440"/>
      <c r="Z18" s="440"/>
      <c r="AA18" s="440"/>
      <c r="AB18" s="440"/>
      <c r="AC18" s="440"/>
      <c r="AD18" s="440"/>
      <c r="AE18" s="636"/>
      <c r="AF18" s="440"/>
      <c r="AG18" s="440"/>
      <c r="AH18" s="440"/>
      <c r="AI18" s="440"/>
      <c r="AJ18" s="440"/>
      <c r="AK18" s="440"/>
      <c r="AU18" s="496"/>
    </row>
    <row r="19" spans="1:47" s="63" customFormat="1">
      <c r="A19" s="767">
        <f>'ADJ DETAIL INPUT'!I$10</f>
        <v>2.0099999999999998</v>
      </c>
      <c r="B19" s="760" t="str">
        <f>TRIM(CONCATENATE('ADJ DETAIL INPUT'!I$7," ",'ADJ DETAIL INPUT'!I$8," ",'ADJ DETAIL INPUT'!I$9))</f>
        <v>Eliminate B &amp; O Taxes</v>
      </c>
      <c r="C19" s="761">
        <v>-9.1000000000000014</v>
      </c>
      <c r="D19" s="761">
        <v>0</v>
      </c>
      <c r="E19" s="653">
        <f t="shared" ref="E19:E33" si="5">ROUND((-+C19+(D19*7.64%))/0.620003,0)</f>
        <v>15</v>
      </c>
      <c r="F19" s="762">
        <f>'ADJ DETAIL INPUT'!I$58</f>
        <v>-9.1000000000000014</v>
      </c>
      <c r="G19" s="762">
        <f>'ADJ DETAIL INPUT'!I$81</f>
        <v>0</v>
      </c>
      <c r="H19" s="653">
        <f t="shared" ref="H19:H33" si="6">ROUND((-+F19+(G19*7.64%))/0.620003,0)</f>
        <v>15</v>
      </c>
      <c r="I19" s="653">
        <f>ROUND((-+F19+(G19*7.3%))/0.620003,0)</f>
        <v>15</v>
      </c>
      <c r="J19" s="653">
        <f t="shared" ref="J19:J33" si="7">+H19-E19</f>
        <v>0</v>
      </c>
      <c r="K19" s="160"/>
      <c r="L19" s="122"/>
      <c r="M19" s="446"/>
      <c r="N19" s="440"/>
      <c r="O19" s="64"/>
      <c r="P19" s="64"/>
      <c r="Q19" s="64"/>
      <c r="R19" s="64"/>
      <c r="S19" s="64"/>
      <c r="T19" s="64"/>
      <c r="U19" s="64"/>
      <c r="V19" s="64"/>
      <c r="W19" s="64"/>
      <c r="X19" s="64"/>
      <c r="Y19" s="64"/>
      <c r="Z19" s="64"/>
      <c r="AA19" s="64"/>
      <c r="AB19" s="64"/>
      <c r="AC19" s="64"/>
      <c r="AD19" s="64"/>
      <c r="AE19" s="636"/>
      <c r="AF19" s="64"/>
      <c r="AG19" s="64"/>
      <c r="AH19" s="64"/>
      <c r="AI19" s="64"/>
      <c r="AJ19" s="64"/>
      <c r="AK19" s="64"/>
      <c r="AU19" s="121"/>
    </row>
    <row r="20" spans="1:47" s="63" customFormat="1">
      <c r="A20" s="767">
        <f>'ADJ DETAIL INPUT'!J$10</f>
        <v>2.0199999999999996</v>
      </c>
      <c r="B20" s="760" t="str">
        <f>TRIM(CONCATENATE('ADJ DETAIL INPUT'!J$7," ",'ADJ DETAIL INPUT'!J$8," ",'ADJ DETAIL INPUT'!J$9))</f>
        <v>Restate Property Tax</v>
      </c>
      <c r="C20" s="761">
        <v>122.2</v>
      </c>
      <c r="D20" s="761">
        <v>0</v>
      </c>
      <c r="E20" s="653">
        <f t="shared" si="5"/>
        <v>-197</v>
      </c>
      <c r="F20" s="762">
        <f>'ADJ DETAIL INPUT'!J$58</f>
        <v>228.15</v>
      </c>
      <c r="G20" s="762">
        <f>'ADJ DETAIL INPUT'!J$81</f>
        <v>0</v>
      </c>
      <c r="H20" s="653">
        <f t="shared" si="6"/>
        <v>-368</v>
      </c>
      <c r="I20" s="653">
        <f t="shared" ref="I20:I33" si="8">ROUND((-+F20+(G20*7.3%))/0.620003,0)</f>
        <v>-368</v>
      </c>
      <c r="J20" s="653">
        <f t="shared" si="7"/>
        <v>-171</v>
      </c>
      <c r="K20" s="160"/>
      <c r="L20" s="122"/>
      <c r="M20" s="446"/>
      <c r="N20" s="163"/>
      <c r="O20" s="64"/>
      <c r="P20" s="64"/>
      <c r="Q20" s="64"/>
      <c r="R20" s="64"/>
      <c r="S20" s="64"/>
      <c r="T20" s="64"/>
      <c r="U20" s="64"/>
      <c r="V20" s="64"/>
      <c r="W20" s="64"/>
      <c r="X20" s="64"/>
      <c r="Y20" s="64"/>
      <c r="Z20" s="64"/>
      <c r="AA20" s="64"/>
      <c r="AB20" s="64"/>
      <c r="AC20" s="64"/>
      <c r="AD20" s="64"/>
      <c r="AE20" s="636"/>
      <c r="AF20" s="64"/>
      <c r="AG20" s="64"/>
      <c r="AH20" s="64"/>
      <c r="AI20" s="64"/>
      <c r="AJ20" s="64"/>
      <c r="AK20" s="64"/>
      <c r="AU20" s="121"/>
    </row>
    <row r="21" spans="1:47" s="63" customFormat="1">
      <c r="A21" s="767">
        <f>'ADJ DETAIL INPUT'!K$10</f>
        <v>2.0299999999999994</v>
      </c>
      <c r="B21" s="760" t="str">
        <f>TRIM(CONCATENATE('ADJ DETAIL INPUT'!K$7," ",'ADJ DETAIL INPUT'!K$8," ",'ADJ DETAIL INPUT'!K$9))</f>
        <v>Uncollectible Expense</v>
      </c>
      <c r="C21" s="761">
        <v>203.45</v>
      </c>
      <c r="D21" s="761">
        <v>0</v>
      </c>
      <c r="E21" s="653">
        <f t="shared" si="5"/>
        <v>-328</v>
      </c>
      <c r="F21" s="762">
        <f>'ADJ DETAIL INPUT'!K$58</f>
        <v>203.45</v>
      </c>
      <c r="G21" s="762">
        <f>'ADJ DETAIL INPUT'!K$81</f>
        <v>0</v>
      </c>
      <c r="H21" s="653">
        <f t="shared" si="6"/>
        <v>-328</v>
      </c>
      <c r="I21" s="653">
        <f t="shared" si="8"/>
        <v>-328</v>
      </c>
      <c r="J21" s="653">
        <f t="shared" si="7"/>
        <v>0</v>
      </c>
      <c r="K21" s="160"/>
      <c r="L21" s="122"/>
      <c r="M21" s="446"/>
      <c r="N21" s="163"/>
      <c r="O21" s="64"/>
      <c r="P21" s="64"/>
      <c r="Q21" s="64"/>
      <c r="R21" s="64"/>
      <c r="S21" s="64"/>
      <c r="T21" s="64"/>
      <c r="U21" s="64"/>
      <c r="V21" s="64"/>
      <c r="W21" s="64"/>
      <c r="X21" s="64"/>
      <c r="Y21" s="64"/>
      <c r="Z21" s="64"/>
      <c r="AA21" s="64"/>
      <c r="AB21" s="64"/>
      <c r="AC21" s="64"/>
      <c r="AD21" s="64"/>
      <c r="AE21" s="636"/>
      <c r="AF21" s="64"/>
      <c r="AG21" s="64"/>
      <c r="AH21" s="64"/>
      <c r="AI21" s="64"/>
      <c r="AJ21" s="64"/>
      <c r="AK21" s="64"/>
      <c r="AU21" s="121"/>
    </row>
    <row r="22" spans="1:47" s="63" customFormat="1">
      <c r="A22" s="767">
        <f>'ADJ DETAIL INPUT'!L$10</f>
        <v>2.0399999999999991</v>
      </c>
      <c r="B22" s="760" t="str">
        <f>TRIM(CONCATENATE('ADJ DETAIL INPUT'!L$7," ",'ADJ DETAIL INPUT'!L$8," ",'ADJ DETAIL INPUT'!L$9))</f>
        <v>Regulatory Expense</v>
      </c>
      <c r="C22" s="761">
        <v>7.8000000000000007</v>
      </c>
      <c r="D22" s="761">
        <v>0</v>
      </c>
      <c r="E22" s="653">
        <f t="shared" si="5"/>
        <v>-13</v>
      </c>
      <c r="F22" s="762">
        <f>'ADJ DETAIL INPUT'!L$58</f>
        <v>7.8000000000000007</v>
      </c>
      <c r="G22" s="762">
        <f>'ADJ DETAIL INPUT'!L$81</f>
        <v>0</v>
      </c>
      <c r="H22" s="653">
        <f t="shared" si="6"/>
        <v>-13</v>
      </c>
      <c r="I22" s="653">
        <f t="shared" si="8"/>
        <v>-13</v>
      </c>
      <c r="J22" s="653">
        <f t="shared" si="7"/>
        <v>0</v>
      </c>
      <c r="K22" s="160"/>
      <c r="L22" s="122"/>
      <c r="M22" s="446"/>
      <c r="N22" s="163"/>
      <c r="O22" s="64"/>
      <c r="P22" s="64"/>
      <c r="Q22" s="64"/>
      <c r="R22" s="64"/>
      <c r="S22" s="64"/>
      <c r="T22" s="64"/>
      <c r="U22" s="64"/>
      <c r="V22" s="64"/>
      <c r="W22" s="64"/>
      <c r="X22" s="64"/>
      <c r="Y22" s="64"/>
      <c r="Z22" s="64"/>
      <c r="AA22" s="64"/>
      <c r="AB22" s="64"/>
      <c r="AC22" s="64"/>
      <c r="AD22" s="64"/>
      <c r="AE22" s="636"/>
      <c r="AF22" s="64"/>
      <c r="AG22" s="64"/>
      <c r="AH22" s="64"/>
      <c r="AI22" s="64"/>
      <c r="AJ22" s="64"/>
      <c r="AK22" s="64"/>
      <c r="AU22" s="121"/>
    </row>
    <row r="23" spans="1:47" s="63" customFormat="1">
      <c r="A23" s="767">
        <f>'ADJ DETAIL INPUT'!M$10</f>
        <v>2.0499999999999989</v>
      </c>
      <c r="B23" s="760" t="str">
        <f>TRIM(CONCATENATE('ADJ DETAIL INPUT'!M$7," ",'ADJ DETAIL INPUT'!M$8," ",'ADJ DETAIL INPUT'!M$9))</f>
        <v>Injuries and Damages</v>
      </c>
      <c r="C23" s="761">
        <v>-150.15</v>
      </c>
      <c r="D23" s="761">
        <v>0</v>
      </c>
      <c r="E23" s="653">
        <f t="shared" si="5"/>
        <v>242</v>
      </c>
      <c r="F23" s="762">
        <f>'ADJ DETAIL INPUT'!M$58</f>
        <v>-150.15</v>
      </c>
      <c r="G23" s="762">
        <f>'ADJ DETAIL INPUT'!M$81</f>
        <v>0</v>
      </c>
      <c r="H23" s="653">
        <f t="shared" si="6"/>
        <v>242</v>
      </c>
      <c r="I23" s="653">
        <f t="shared" si="8"/>
        <v>242</v>
      </c>
      <c r="J23" s="653">
        <f t="shared" si="7"/>
        <v>0</v>
      </c>
      <c r="K23" s="160"/>
      <c r="L23" s="122"/>
      <c r="M23" s="446"/>
      <c r="N23" s="163"/>
      <c r="O23" s="64"/>
      <c r="P23" s="64"/>
      <c r="Q23" s="64"/>
      <c r="R23" s="64"/>
      <c r="S23" s="64"/>
      <c r="T23" s="64"/>
      <c r="U23" s="64"/>
      <c r="V23" s="64"/>
      <c r="W23" s="64"/>
      <c r="X23" s="64"/>
      <c r="Y23" s="64"/>
      <c r="Z23" s="64"/>
      <c r="AA23" s="64"/>
      <c r="AB23" s="64"/>
      <c r="AC23" s="64"/>
      <c r="AD23" s="64"/>
      <c r="AE23" s="636"/>
      <c r="AF23" s="64"/>
      <c r="AG23" s="64"/>
      <c r="AH23" s="64"/>
      <c r="AI23" s="64"/>
      <c r="AJ23" s="64"/>
      <c r="AK23" s="64"/>
      <c r="AU23" s="121"/>
    </row>
    <row r="24" spans="1:47" s="63" customFormat="1">
      <c r="A24" s="767">
        <f>'ADJ DETAIL INPUT'!N$10</f>
        <v>2.0599999999999987</v>
      </c>
      <c r="B24" s="760" t="str">
        <f>TRIM(CONCATENATE('ADJ DETAIL INPUT'!N$7," ",'ADJ DETAIL INPUT'!N$8," ",'ADJ DETAIL INPUT'!N$9))</f>
        <v>FIT / DFIT Expense</v>
      </c>
      <c r="C24" s="761">
        <v>223</v>
      </c>
      <c r="D24" s="761">
        <v>0</v>
      </c>
      <c r="E24" s="653">
        <f t="shared" si="5"/>
        <v>-360</v>
      </c>
      <c r="F24" s="762">
        <f>'ADJ DETAIL INPUT'!N$58</f>
        <v>223</v>
      </c>
      <c r="G24" s="762">
        <f>'ADJ DETAIL INPUT'!N$81</f>
        <v>0</v>
      </c>
      <c r="H24" s="653">
        <f t="shared" si="6"/>
        <v>-360</v>
      </c>
      <c r="I24" s="653">
        <f t="shared" si="8"/>
        <v>-360</v>
      </c>
      <c r="J24" s="653">
        <f t="shared" si="7"/>
        <v>0</v>
      </c>
      <c r="K24" s="160"/>
      <c r="L24" s="122"/>
      <c r="M24" s="446"/>
      <c r="N24" s="122"/>
      <c r="O24" s="64"/>
      <c r="P24" s="64"/>
      <c r="Q24" s="64"/>
      <c r="R24" s="64"/>
      <c r="S24" s="64"/>
      <c r="T24" s="64"/>
      <c r="U24" s="64"/>
      <c r="V24" s="64"/>
      <c r="W24" s="64"/>
      <c r="X24" s="64"/>
      <c r="Y24" s="64"/>
      <c r="Z24" s="64"/>
      <c r="AA24" s="64"/>
      <c r="AB24" s="64"/>
      <c r="AC24" s="64"/>
      <c r="AD24" s="64"/>
      <c r="AE24" s="636"/>
      <c r="AF24" s="64"/>
      <c r="AG24" s="64"/>
      <c r="AH24" s="64"/>
      <c r="AI24" s="64"/>
      <c r="AJ24" s="64"/>
      <c r="AK24" s="64"/>
      <c r="AU24" s="121"/>
    </row>
    <row r="25" spans="1:47" s="63" customFormat="1">
      <c r="A25" s="767">
        <f>'ADJ DETAIL INPUT'!O$10</f>
        <v>2.0699999999999985</v>
      </c>
      <c r="B25" s="760" t="str">
        <f>TRIM(CONCATENATE('ADJ DETAIL INPUT'!O$7," ",'ADJ DETAIL INPUT'!O$8," ",'ADJ DETAIL INPUT'!O$9))</f>
        <v>Office Space Charges to Subs</v>
      </c>
      <c r="C25" s="761">
        <v>5.85</v>
      </c>
      <c r="D25" s="761">
        <v>0</v>
      </c>
      <c r="E25" s="653">
        <f t="shared" si="5"/>
        <v>-9</v>
      </c>
      <c r="F25" s="762">
        <f>'ADJ DETAIL INPUT'!O$58</f>
        <v>5.85</v>
      </c>
      <c r="G25" s="762">
        <f>'ADJ DETAIL INPUT'!O$81</f>
        <v>0</v>
      </c>
      <c r="H25" s="653">
        <f t="shared" si="6"/>
        <v>-9</v>
      </c>
      <c r="I25" s="653">
        <f t="shared" si="8"/>
        <v>-9</v>
      </c>
      <c r="J25" s="653">
        <f t="shared" si="7"/>
        <v>0</v>
      </c>
      <c r="K25" s="160"/>
      <c r="L25" s="122"/>
      <c r="M25" s="446"/>
      <c r="N25" s="163"/>
      <c r="O25" s="64"/>
      <c r="P25" s="64"/>
      <c r="Q25" s="64"/>
      <c r="R25" s="64"/>
      <c r="S25" s="64"/>
      <c r="T25" s="64"/>
      <c r="U25" s="64"/>
      <c r="V25" s="64"/>
      <c r="W25" s="64"/>
      <c r="X25" s="64"/>
      <c r="Y25" s="64"/>
      <c r="Z25" s="64"/>
      <c r="AA25" s="64"/>
      <c r="AB25" s="64"/>
      <c r="AC25" s="64"/>
      <c r="AD25" s="64"/>
      <c r="AE25" s="636"/>
      <c r="AF25" s="64"/>
      <c r="AG25" s="64"/>
      <c r="AH25" s="64"/>
      <c r="AI25" s="64"/>
      <c r="AJ25" s="64"/>
      <c r="AK25" s="64"/>
      <c r="AU25" s="121"/>
    </row>
    <row r="26" spans="1:47" s="63" customFormat="1">
      <c r="A26" s="767">
        <f>'ADJ DETAIL INPUT'!P$10</f>
        <v>2.0799999999999983</v>
      </c>
      <c r="B26" s="760" t="str">
        <f>TRIM(CONCATENATE('ADJ DETAIL INPUT'!P$7," ",'ADJ DETAIL INPUT'!P$8," ",'ADJ DETAIL INPUT'!P$9))</f>
        <v>Restate Excise Taxes</v>
      </c>
      <c r="C26" s="761">
        <v>3.25</v>
      </c>
      <c r="D26" s="761">
        <v>0</v>
      </c>
      <c r="E26" s="653">
        <f t="shared" si="5"/>
        <v>-5</v>
      </c>
      <c r="F26" s="762">
        <f>'ADJ DETAIL INPUT'!P$58</f>
        <v>3.25</v>
      </c>
      <c r="G26" s="762">
        <f>'ADJ DETAIL INPUT'!P$81</f>
        <v>0</v>
      </c>
      <c r="H26" s="653">
        <f t="shared" si="6"/>
        <v>-5</v>
      </c>
      <c r="I26" s="653">
        <f t="shared" si="8"/>
        <v>-5</v>
      </c>
      <c r="J26" s="653">
        <f t="shared" si="7"/>
        <v>0</v>
      </c>
      <c r="K26" s="160"/>
      <c r="L26" s="122"/>
      <c r="M26" s="446"/>
      <c r="N26" s="64"/>
      <c r="O26" s="64"/>
      <c r="P26" s="64"/>
      <c r="Q26" s="64"/>
      <c r="R26" s="64"/>
      <c r="S26" s="64"/>
      <c r="T26" s="64"/>
      <c r="U26" s="64"/>
      <c r="V26" s="64"/>
      <c r="W26" s="64"/>
      <c r="X26" s="64"/>
      <c r="Y26" s="64"/>
      <c r="Z26" s="64"/>
      <c r="AA26" s="64"/>
      <c r="AB26" s="64"/>
      <c r="AC26" s="64"/>
      <c r="AD26" s="64"/>
      <c r="AE26" s="636"/>
      <c r="AF26" s="64"/>
      <c r="AG26" s="64"/>
      <c r="AH26" s="64"/>
      <c r="AI26" s="64"/>
      <c r="AJ26" s="64"/>
      <c r="AK26" s="64"/>
      <c r="AU26" s="121"/>
    </row>
    <row r="27" spans="1:47" s="63" customFormat="1">
      <c r="A27" s="767">
        <f>'ADJ DETAIL INPUT'!Q$10</f>
        <v>2.0899999999999981</v>
      </c>
      <c r="B27" s="760" t="str">
        <f>TRIM(CONCATENATE('ADJ DETAIL INPUT'!Q$7," ",'ADJ DETAIL INPUT'!Q$8," ",'ADJ DETAIL INPUT'!Q$9))</f>
        <v>Net Gains/Losses</v>
      </c>
      <c r="C27" s="761">
        <v>3.9000000000000004</v>
      </c>
      <c r="D27" s="761">
        <v>0</v>
      </c>
      <c r="E27" s="653">
        <f t="shared" si="5"/>
        <v>-6</v>
      </c>
      <c r="F27" s="762">
        <f>'ADJ DETAIL INPUT'!Q$58</f>
        <v>3.9000000000000004</v>
      </c>
      <c r="G27" s="762">
        <f>'ADJ DETAIL INPUT'!Q$81</f>
        <v>0</v>
      </c>
      <c r="H27" s="653">
        <f t="shared" si="6"/>
        <v>-6</v>
      </c>
      <c r="I27" s="653">
        <f t="shared" si="8"/>
        <v>-6</v>
      </c>
      <c r="J27" s="653">
        <f t="shared" si="7"/>
        <v>0</v>
      </c>
      <c r="K27" s="160"/>
      <c r="L27" s="122"/>
      <c r="M27" s="446"/>
      <c r="N27" s="163"/>
      <c r="O27" s="64"/>
      <c r="P27" s="64"/>
      <c r="Q27" s="64"/>
      <c r="R27" s="64"/>
      <c r="S27" s="64"/>
      <c r="T27" s="64"/>
      <c r="U27" s="64"/>
      <c r="V27" s="64"/>
      <c r="W27" s="64"/>
      <c r="X27" s="64"/>
      <c r="Y27" s="64"/>
      <c r="Z27" s="64"/>
      <c r="AA27" s="64"/>
      <c r="AB27" s="64"/>
      <c r="AC27" s="64"/>
      <c r="AD27" s="64"/>
      <c r="AE27" s="636"/>
      <c r="AF27" s="64"/>
      <c r="AG27" s="64"/>
      <c r="AH27" s="64"/>
      <c r="AI27" s="64"/>
      <c r="AJ27" s="64"/>
      <c r="AK27" s="64"/>
      <c r="AU27" s="121"/>
    </row>
    <row r="28" spans="1:47" s="54" customFormat="1">
      <c r="A28" s="767">
        <f>'ADJ DETAIL INPUT'!R$10</f>
        <v>2.0999999999999979</v>
      </c>
      <c r="B28" s="760" t="str">
        <f>TRIM(CONCATENATE('ADJ DETAIL INPUT'!R$7," ",'ADJ DETAIL INPUT'!R$8," ",'ADJ DETAIL INPUT'!R$9))</f>
        <v>Weather Normalization / Gas Cost Adjust</v>
      </c>
      <c r="C28" s="761">
        <v>1154.4000000000001</v>
      </c>
      <c r="D28" s="761">
        <v>0</v>
      </c>
      <c r="E28" s="653">
        <f t="shared" si="5"/>
        <v>-1862</v>
      </c>
      <c r="F28" s="762">
        <f>'ADJ DETAIL INPUT'!R$58</f>
        <v>1154.4000000000001</v>
      </c>
      <c r="G28" s="762">
        <f>'ADJ DETAIL INPUT'!R$81</f>
        <v>0</v>
      </c>
      <c r="H28" s="653">
        <f t="shared" si="6"/>
        <v>-1862</v>
      </c>
      <c r="I28" s="653">
        <f t="shared" si="8"/>
        <v>-1862</v>
      </c>
      <c r="J28" s="653">
        <f t="shared" si="7"/>
        <v>0</v>
      </c>
      <c r="K28" s="160"/>
      <c r="L28" s="159"/>
      <c r="M28" s="446"/>
      <c r="N28" s="440"/>
      <c r="O28" s="62"/>
      <c r="P28" s="62"/>
      <c r="Q28" s="62"/>
      <c r="R28" s="62"/>
      <c r="S28" s="62"/>
      <c r="T28" s="62"/>
      <c r="U28" s="62"/>
      <c r="V28" s="62"/>
      <c r="W28" s="62"/>
      <c r="X28" s="62"/>
      <c r="Y28" s="62"/>
      <c r="Z28" s="62"/>
      <c r="AA28" s="62"/>
      <c r="AB28" s="62"/>
      <c r="AC28" s="62"/>
      <c r="AD28" s="62"/>
      <c r="AE28" s="636"/>
      <c r="AF28" s="62"/>
      <c r="AG28" s="62"/>
      <c r="AH28" s="62"/>
      <c r="AI28" s="62"/>
      <c r="AJ28" s="62"/>
      <c r="AK28" s="62"/>
      <c r="AU28" s="448"/>
    </row>
    <row r="29" spans="1:47" s="442" customFormat="1">
      <c r="A29" s="767">
        <f>'ADJ DETAIL INPUT'!S$10</f>
        <v>2.1099999999999977</v>
      </c>
      <c r="B29" s="760" t="str">
        <f>TRIM(CONCATENATE('ADJ DETAIL INPUT'!S$7," ",'ADJ DETAIL INPUT'!S$8," ",'ADJ DETAIL INPUT'!S$9))</f>
        <v>Eliminate Adder Schedules</v>
      </c>
      <c r="C29" s="761">
        <v>0</v>
      </c>
      <c r="D29" s="761">
        <v>0</v>
      </c>
      <c r="E29" s="653">
        <f t="shared" si="5"/>
        <v>0</v>
      </c>
      <c r="F29" s="762">
        <f>'ADJ DETAIL INPUT'!S$58</f>
        <v>0</v>
      </c>
      <c r="G29" s="762">
        <f>'ADJ DETAIL INPUT'!S$81</f>
        <v>0</v>
      </c>
      <c r="H29" s="653">
        <f t="shared" si="6"/>
        <v>0</v>
      </c>
      <c r="I29" s="653">
        <f t="shared" si="8"/>
        <v>0</v>
      </c>
      <c r="J29" s="653">
        <f t="shared" si="7"/>
        <v>0</v>
      </c>
      <c r="K29" s="160"/>
      <c r="L29" s="159"/>
      <c r="M29" s="446"/>
      <c r="N29" s="440"/>
      <c r="O29" s="62"/>
      <c r="P29" s="62"/>
      <c r="Q29" s="62"/>
      <c r="R29" s="62"/>
      <c r="S29" s="62"/>
      <c r="T29" s="62"/>
      <c r="U29" s="62"/>
      <c r="V29" s="62"/>
      <c r="W29" s="62"/>
      <c r="X29" s="62"/>
      <c r="Y29" s="62"/>
      <c r="Z29" s="62"/>
      <c r="AA29" s="62"/>
      <c r="AB29" s="62"/>
      <c r="AC29" s="62"/>
      <c r="AD29" s="62"/>
      <c r="AE29" s="636"/>
      <c r="AF29" s="62"/>
      <c r="AG29" s="62"/>
      <c r="AH29" s="62"/>
      <c r="AI29" s="62"/>
      <c r="AJ29" s="62"/>
      <c r="AK29" s="62"/>
      <c r="AU29" s="448"/>
    </row>
    <row r="30" spans="1:47" s="121" customFormat="1">
      <c r="A30" s="767">
        <f>'ADJ DETAIL INPUT'!T$10</f>
        <v>2.1199999999999974</v>
      </c>
      <c r="B30" s="763" t="str">
        <f>TRIM(CONCATENATE('ADJ DETAIL INPUT'!T$7," ",'ADJ DETAIL INPUT'!T$8," ",'ADJ DETAIL INPUT'!T$9))</f>
        <v>Misc Restating Adjustments</v>
      </c>
      <c r="C30" s="761">
        <v>144.30000000000001</v>
      </c>
      <c r="D30" s="761">
        <v>0</v>
      </c>
      <c r="E30" s="653">
        <f t="shared" si="5"/>
        <v>-233</v>
      </c>
      <c r="F30" s="764">
        <f>'ADJ DETAIL INPUT'!T$58</f>
        <v>144.30000000000001</v>
      </c>
      <c r="G30" s="764">
        <f>'ADJ DETAIL INPUT'!T$81</f>
        <v>0</v>
      </c>
      <c r="H30" s="653">
        <f t="shared" si="6"/>
        <v>-233</v>
      </c>
      <c r="I30" s="653">
        <f t="shared" si="8"/>
        <v>-233</v>
      </c>
      <c r="J30" s="653">
        <f t="shared" si="7"/>
        <v>0</v>
      </c>
      <c r="K30" s="160"/>
      <c r="L30" s="122"/>
      <c r="M30" s="446"/>
      <c r="N30" s="163"/>
      <c r="O30" s="122"/>
      <c r="P30" s="122"/>
      <c r="Q30" s="122"/>
      <c r="R30" s="122"/>
      <c r="S30" s="122"/>
      <c r="T30" s="122"/>
      <c r="U30" s="122"/>
      <c r="V30" s="122"/>
      <c r="W30" s="122"/>
      <c r="X30" s="122"/>
      <c r="Y30" s="122"/>
      <c r="Z30" s="122"/>
      <c r="AA30" s="122"/>
      <c r="AB30" s="122"/>
      <c r="AC30" s="122"/>
      <c r="AD30" s="122"/>
      <c r="AE30" s="598"/>
      <c r="AF30" s="122"/>
      <c r="AG30" s="122"/>
      <c r="AH30" s="122"/>
      <c r="AI30" s="122"/>
      <c r="AJ30" s="122"/>
      <c r="AK30" s="122"/>
    </row>
    <row r="31" spans="1:47" s="121" customFormat="1">
      <c r="A31" s="767">
        <f>'ADJ DETAIL INPUT'!U$10</f>
        <v>2.1299999999999972</v>
      </c>
      <c r="B31" s="763" t="str">
        <f>TRIM(CONCATENATE('ADJ DETAIL INPUT'!U$7," ",'ADJ DETAIL INPUT'!U$8," ",'ADJ DETAIL INPUT'!U$9))</f>
        <v>Restate Debt Interest</v>
      </c>
      <c r="C31" s="761">
        <v>86</v>
      </c>
      <c r="D31" s="761">
        <v>0</v>
      </c>
      <c r="E31" s="653">
        <f t="shared" si="5"/>
        <v>-139</v>
      </c>
      <c r="F31" s="764">
        <f>'ADJ DETAIL INPUT'!U$58</f>
        <v>85</v>
      </c>
      <c r="G31" s="764">
        <f>'ADJ DETAIL INPUT'!U$81</f>
        <v>0</v>
      </c>
      <c r="H31" s="653">
        <f t="shared" si="6"/>
        <v>-137</v>
      </c>
      <c r="I31" s="653">
        <f t="shared" si="8"/>
        <v>-137</v>
      </c>
      <c r="J31" s="653">
        <f t="shared" si="7"/>
        <v>2</v>
      </c>
      <c r="K31" s="160"/>
      <c r="L31" s="446"/>
      <c r="M31" s="446"/>
      <c r="N31" s="122"/>
      <c r="O31" s="122"/>
      <c r="P31" s="122"/>
      <c r="Q31" s="122"/>
      <c r="R31" s="122"/>
      <c r="S31" s="122"/>
      <c r="T31" s="122"/>
      <c r="U31" s="122"/>
      <c r="V31" s="122"/>
      <c r="W31" s="122"/>
      <c r="X31" s="122"/>
      <c r="Y31" s="122"/>
      <c r="Z31" s="122"/>
      <c r="AA31" s="122"/>
      <c r="AB31" s="122"/>
      <c r="AC31" s="122"/>
      <c r="AD31" s="122"/>
      <c r="AE31" s="598"/>
      <c r="AF31" s="122"/>
      <c r="AG31" s="122"/>
      <c r="AH31" s="122"/>
      <c r="AI31" s="122"/>
      <c r="AJ31" s="122"/>
      <c r="AK31" s="122"/>
    </row>
    <row r="32" spans="1:47" s="121" customFormat="1">
      <c r="A32" s="767">
        <f>'ADJ DETAIL INPUT'!V$10</f>
        <v>2.139999999999997</v>
      </c>
      <c r="B32" s="763" t="str">
        <f>TRIM(CONCATENATE('ADJ DETAIL INPUT'!V$7," ",'ADJ DETAIL INPUT'!V$8," ",'ADJ DETAIL INPUT'!V$9))</f>
        <v>Restating Incentive Adjustment</v>
      </c>
      <c r="C32" s="761">
        <v>317.85000000000002</v>
      </c>
      <c r="D32" s="761">
        <v>0</v>
      </c>
      <c r="E32" s="653">
        <f t="shared" si="5"/>
        <v>-513</v>
      </c>
      <c r="F32" s="764">
        <f>'ADJ DETAIL INPUT'!V$58</f>
        <v>-87.1</v>
      </c>
      <c r="G32" s="764">
        <f>'ADJ DETAIL INPUT'!V$81</f>
        <v>0</v>
      </c>
      <c r="H32" s="653">
        <f t="shared" si="6"/>
        <v>140</v>
      </c>
      <c r="I32" s="653">
        <f t="shared" si="8"/>
        <v>140</v>
      </c>
      <c r="J32" s="653">
        <f t="shared" si="7"/>
        <v>653</v>
      </c>
      <c r="K32" s="160"/>
      <c r="L32" s="122"/>
      <c r="M32" s="446"/>
      <c r="N32" s="163"/>
      <c r="O32" s="122"/>
      <c r="P32" s="122"/>
      <c r="Q32" s="122"/>
      <c r="R32" s="122"/>
      <c r="S32" s="122"/>
      <c r="T32" s="122"/>
      <c r="U32" s="122"/>
      <c r="V32" s="122"/>
      <c r="W32" s="122"/>
      <c r="X32" s="122"/>
      <c r="Y32" s="122"/>
      <c r="Z32" s="122"/>
      <c r="AA32" s="122"/>
      <c r="AB32" s="122"/>
      <c r="AC32" s="122"/>
      <c r="AD32" s="122"/>
      <c r="AE32" s="598"/>
      <c r="AF32" s="122"/>
      <c r="AG32" s="122"/>
      <c r="AH32" s="122"/>
      <c r="AI32" s="122"/>
      <c r="AJ32" s="122"/>
      <c r="AK32" s="122"/>
    </row>
    <row r="33" spans="1:48" s="121" customFormat="1">
      <c r="A33" s="767">
        <f>'ADJ DETAIL INPUT'!W$10</f>
        <v>2.1499999999999968</v>
      </c>
      <c r="B33" s="763" t="str">
        <f>TRIM(CONCATENATE('ADJ DETAIL INPUT'!W$7," ",'ADJ DETAIL INPUT'!W$8," ",'ADJ DETAIL INPUT'!W$9))</f>
        <v>Project Compass Deferral</v>
      </c>
      <c r="C33" s="761">
        <v>978.25</v>
      </c>
      <c r="D33" s="761">
        <v>0</v>
      </c>
      <c r="E33" s="653">
        <f t="shared" si="5"/>
        <v>-1578</v>
      </c>
      <c r="F33" s="764">
        <f>'ADJ DETAIL INPUT'!W$58</f>
        <v>978.25</v>
      </c>
      <c r="G33" s="764">
        <f>'ADJ DETAIL INPUT'!W$81</f>
        <v>0</v>
      </c>
      <c r="H33" s="653">
        <f t="shared" si="6"/>
        <v>-1578</v>
      </c>
      <c r="I33" s="653">
        <f t="shared" si="8"/>
        <v>-1578</v>
      </c>
      <c r="J33" s="653">
        <f t="shared" si="7"/>
        <v>0</v>
      </c>
      <c r="K33" s="160"/>
      <c r="L33" s="446"/>
      <c r="M33" s="446"/>
      <c r="N33" s="122"/>
      <c r="O33" s="122"/>
      <c r="P33" s="122"/>
      <c r="Q33" s="122"/>
      <c r="R33" s="122"/>
      <c r="S33" s="122"/>
      <c r="T33" s="122"/>
      <c r="U33" s="122"/>
      <c r="V33" s="122"/>
      <c r="W33" s="122"/>
      <c r="X33" s="122"/>
      <c r="Y33" s="122"/>
      <c r="Z33" s="122"/>
      <c r="AA33" s="122"/>
      <c r="AB33" s="122"/>
      <c r="AC33" s="122"/>
      <c r="AD33" s="122"/>
      <c r="AE33" s="598"/>
      <c r="AF33" s="122"/>
      <c r="AG33" s="122"/>
      <c r="AH33" s="122"/>
      <c r="AI33" s="122"/>
      <c r="AJ33" s="122"/>
      <c r="AK33" s="122"/>
    </row>
    <row r="34" spans="1:48">
      <c r="A34" s="213" t="s">
        <v>596</v>
      </c>
      <c r="B34" s="760"/>
      <c r="C34" s="762"/>
      <c r="D34" s="762"/>
      <c r="E34" s="762"/>
      <c r="F34" s="762"/>
      <c r="G34" s="762"/>
      <c r="H34" s="652"/>
      <c r="I34" s="652"/>
      <c r="J34" s="652"/>
      <c r="K34" s="446"/>
      <c r="L34" s="446"/>
      <c r="M34" s="446"/>
      <c r="N34" s="446"/>
      <c r="O34" s="440"/>
      <c r="P34" s="440"/>
      <c r="Q34" s="440"/>
      <c r="R34" s="440"/>
      <c r="S34" s="440"/>
      <c r="T34" s="440"/>
      <c r="U34" s="440"/>
      <c r="V34" s="440"/>
      <c r="W34" s="440"/>
      <c r="X34" s="440"/>
      <c r="Y34" s="440"/>
      <c r="Z34" s="440"/>
      <c r="AA34" s="440"/>
      <c r="AB34" s="440"/>
      <c r="AC34" s="440"/>
      <c r="AD34" s="440"/>
      <c r="AE34" s="636"/>
      <c r="AF34" s="440"/>
      <c r="AG34" s="440"/>
      <c r="AH34" s="440"/>
      <c r="AI34" s="440"/>
      <c r="AJ34" s="440"/>
      <c r="AK34" s="440"/>
      <c r="AU34" s="496"/>
    </row>
    <row r="35" spans="1:48" ht="18" customHeight="1" thickBot="1">
      <c r="A35" s="767"/>
      <c r="B35" s="653" t="s">
        <v>77</v>
      </c>
      <c r="C35" s="768">
        <f>SUM(C17:C34)</f>
        <v>17667.957319999998</v>
      </c>
      <c r="D35" s="768">
        <f>SUM(D17:D34)</f>
        <v>262267</v>
      </c>
      <c r="E35" s="768">
        <f>SUM(E17:E34)</f>
        <v>3820</v>
      </c>
      <c r="F35" s="768">
        <f>SUM(F17:F34)</f>
        <v>17367.945337159203</v>
      </c>
      <c r="G35" s="768">
        <f>SUM(G17:G34)</f>
        <v>262267</v>
      </c>
      <c r="H35" s="768">
        <f t="shared" ref="H35:J35" si="9">SUM(H17:H34)</f>
        <v>4304</v>
      </c>
      <c r="I35" s="768">
        <f t="shared" si="9"/>
        <v>2867</v>
      </c>
      <c r="J35" s="768">
        <f t="shared" si="9"/>
        <v>484</v>
      </c>
      <c r="K35" s="446"/>
      <c r="L35" s="446"/>
      <c r="M35" s="446"/>
      <c r="N35" s="446"/>
      <c r="O35" s="440"/>
      <c r="P35" s="440"/>
      <c r="Q35" s="440"/>
      <c r="R35" s="440"/>
      <c r="S35" s="440"/>
      <c r="T35" s="440"/>
      <c r="U35" s="440"/>
      <c r="V35" s="440"/>
      <c r="W35" s="440"/>
      <c r="X35" s="440"/>
      <c r="Y35" s="440"/>
      <c r="Z35" s="440"/>
      <c r="AA35" s="440"/>
      <c r="AB35" s="440"/>
      <c r="AC35" s="440"/>
      <c r="AD35" s="440"/>
      <c r="AE35" s="636"/>
      <c r="AF35" s="440"/>
      <c r="AG35" s="440"/>
      <c r="AH35" s="440"/>
      <c r="AI35" s="440"/>
      <c r="AJ35" s="440"/>
      <c r="AK35" s="440"/>
      <c r="AU35" s="496"/>
    </row>
    <row r="36" spans="1:48" ht="6.75" customHeight="1" thickTop="1">
      <c r="A36" s="767"/>
      <c r="B36" s="653"/>
      <c r="C36" s="760"/>
      <c r="D36" s="653"/>
      <c r="E36" s="653"/>
      <c r="F36" s="760"/>
      <c r="G36" s="653"/>
      <c r="H36" s="652"/>
      <c r="I36" s="652"/>
      <c r="J36" s="652"/>
      <c r="K36" s="446"/>
      <c r="L36" s="446"/>
      <c r="M36" s="446"/>
      <c r="N36" s="446"/>
      <c r="O36" s="440"/>
      <c r="P36" s="440"/>
      <c r="Q36" s="440"/>
      <c r="R36" s="440"/>
      <c r="S36" s="440"/>
      <c r="T36" s="440"/>
      <c r="U36" s="440"/>
      <c r="V36" s="440"/>
      <c r="W36" s="440"/>
      <c r="X36" s="440"/>
      <c r="Y36" s="440"/>
      <c r="Z36" s="440"/>
      <c r="AA36" s="440"/>
      <c r="AB36" s="440"/>
      <c r="AC36" s="440"/>
      <c r="AD36" s="440"/>
      <c r="AE36" s="636"/>
      <c r="AF36" s="440"/>
      <c r="AG36" s="440"/>
      <c r="AH36" s="440"/>
      <c r="AI36" s="440"/>
      <c r="AJ36" s="440"/>
      <c r="AK36" s="440"/>
      <c r="AU36" s="496"/>
    </row>
    <row r="37" spans="1:48" s="492" customFormat="1" ht="13.5" customHeight="1">
      <c r="A37" s="767"/>
      <c r="B37" s="653"/>
      <c r="C37" s="760"/>
      <c r="D37" s="653"/>
      <c r="E37" s="653"/>
      <c r="F37" s="760"/>
      <c r="G37" s="653"/>
      <c r="H37" s="652"/>
      <c r="I37" s="652"/>
      <c r="J37" s="652"/>
      <c r="K37" s="446"/>
      <c r="L37" s="446"/>
      <c r="M37" s="446"/>
      <c r="N37" s="446"/>
      <c r="O37" s="440"/>
      <c r="P37" s="440"/>
      <c r="Q37" s="440"/>
      <c r="R37" s="440"/>
      <c r="S37" s="440"/>
      <c r="T37" s="440"/>
      <c r="U37" s="440"/>
      <c r="V37" s="440"/>
      <c r="W37" s="440"/>
      <c r="X37" s="440"/>
      <c r="Y37" s="440"/>
      <c r="Z37" s="440"/>
      <c r="AA37" s="440"/>
      <c r="AB37" s="440"/>
      <c r="AC37" s="440"/>
      <c r="AD37" s="440"/>
      <c r="AE37" s="636"/>
      <c r="AF37" s="440"/>
      <c r="AG37" s="440"/>
      <c r="AH37" s="440"/>
      <c r="AI37" s="440"/>
      <c r="AJ37" s="440"/>
      <c r="AK37" s="440"/>
      <c r="AU37" s="496"/>
    </row>
    <row r="38" spans="1:48" s="492" customFormat="1" ht="13.5" customHeight="1">
      <c r="A38" s="796" t="s">
        <v>448</v>
      </c>
      <c r="B38" s="653"/>
      <c r="C38" s="760"/>
      <c r="D38" s="653"/>
      <c r="E38" s="653"/>
      <c r="F38" s="760"/>
      <c r="G38" s="653"/>
      <c r="H38" s="652"/>
      <c r="I38" s="652"/>
      <c r="J38" s="652"/>
      <c r="K38" s="446"/>
      <c r="L38" s="446"/>
      <c r="M38" s="446"/>
      <c r="N38" s="446"/>
      <c r="O38" s="440"/>
      <c r="P38" s="440"/>
      <c r="Q38" s="440"/>
      <c r="R38" s="440"/>
      <c r="S38" s="440"/>
      <c r="T38" s="440"/>
      <c r="U38" s="440"/>
      <c r="V38" s="440"/>
      <c r="W38" s="440"/>
      <c r="X38" s="440"/>
      <c r="Y38" s="440"/>
      <c r="Z38" s="440"/>
      <c r="AA38" s="440"/>
      <c r="AB38" s="440"/>
      <c r="AC38" s="440"/>
      <c r="AD38" s="440"/>
      <c r="AE38" s="636"/>
      <c r="AF38" s="440"/>
      <c r="AG38" s="440"/>
      <c r="AH38" s="440"/>
      <c r="AI38" s="440"/>
      <c r="AJ38" s="440"/>
      <c r="AK38" s="440"/>
      <c r="AU38" s="496"/>
    </row>
    <row r="39" spans="1:48">
      <c r="A39" s="767">
        <f>'ADJ DETAIL INPUT'!Y$10</f>
        <v>3</v>
      </c>
      <c r="B39" s="760" t="str">
        <f>TRIM(CONCATENATE('ADJ DETAIL INPUT'!Y$7," ",'ADJ DETAIL INPUT'!Y$8," ",'ADJ DETAIL INPUT'!Y$9))</f>
        <v>Pro Forma Labor Non-Exec</v>
      </c>
      <c r="C39" s="761">
        <v>-418.68450000000001</v>
      </c>
      <c r="D39" s="761">
        <v>0</v>
      </c>
      <c r="E39" s="653">
        <f t="shared" ref="E39:E57" si="10">ROUND((-+C39+(D39*7.64%))/0.620003,0)</f>
        <v>675</v>
      </c>
      <c r="F39" s="762">
        <f>'ADJ DETAIL INPUT'!Y$58</f>
        <v>-418.68450000000001</v>
      </c>
      <c r="G39" s="762">
        <f>'ADJ DETAIL INPUT'!Y$81</f>
        <v>0</v>
      </c>
      <c r="H39" s="653">
        <f t="shared" ref="H39:H59" si="11">ROUND((-+F39+(G39*7.64%))/0.620003,0)</f>
        <v>675</v>
      </c>
      <c r="I39" s="653">
        <f>ROUND((-+F39+(G39*7.3%))/0.620003,0)</f>
        <v>675</v>
      </c>
      <c r="J39" s="653">
        <f t="shared" ref="J39:J59" si="12">+H39-E39</f>
        <v>0</v>
      </c>
      <c r="K39" s="160"/>
      <c r="L39" s="446"/>
      <c r="M39" s="446"/>
      <c r="N39" s="163"/>
      <c r="O39" s="440"/>
      <c r="P39" s="440"/>
      <c r="Q39" s="440"/>
      <c r="R39" s="440"/>
      <c r="S39" s="440"/>
      <c r="T39" s="440"/>
      <c r="U39" s="440"/>
      <c r="V39" s="440"/>
      <c r="W39" s="440"/>
      <c r="X39" s="440"/>
      <c r="Y39" s="440"/>
      <c r="Z39" s="440"/>
      <c r="AA39" s="440"/>
      <c r="AB39" s="440"/>
      <c r="AC39" s="440"/>
      <c r="AD39" s="440"/>
      <c r="AE39" s="636"/>
      <c r="AF39" s="440"/>
      <c r="AG39" s="440"/>
      <c r="AH39" s="440"/>
      <c r="AI39" s="440"/>
      <c r="AJ39" s="440"/>
      <c r="AK39" s="440"/>
      <c r="AU39" s="496"/>
    </row>
    <row r="40" spans="1:48" ht="13.5" customHeight="1">
      <c r="A40" s="767">
        <f>'ADJ DETAIL INPUT'!Z$10</f>
        <v>3.01</v>
      </c>
      <c r="B40" s="760" t="str">
        <f>TRIM(CONCATENATE('ADJ DETAIL INPUT'!Z$7," ",'ADJ DETAIL INPUT'!Z$8," ",'ADJ DETAIL INPUT'!Z$9))</f>
        <v>Pro Forma Labor Exec</v>
      </c>
      <c r="C40" s="761">
        <v>8.4499999999999993</v>
      </c>
      <c r="D40" s="761">
        <v>0</v>
      </c>
      <c r="E40" s="653">
        <f t="shared" si="10"/>
        <v>-14</v>
      </c>
      <c r="F40" s="762">
        <f>'ADJ DETAIL INPUT'!Z$58</f>
        <v>8.4499999999999993</v>
      </c>
      <c r="G40" s="762">
        <f>'ADJ DETAIL INPUT'!Z$81</f>
        <v>0</v>
      </c>
      <c r="H40" s="653">
        <f t="shared" si="11"/>
        <v>-14</v>
      </c>
      <c r="I40" s="653">
        <f t="shared" ref="I40:I49" si="13">ROUND((-+F40+(G40*7.3%))/0.620003,0)</f>
        <v>-14</v>
      </c>
      <c r="J40" s="653">
        <f t="shared" si="12"/>
        <v>0</v>
      </c>
      <c r="K40" s="160"/>
      <c r="L40" s="446"/>
      <c r="M40" s="446"/>
      <c r="N40" s="163"/>
      <c r="O40" s="440"/>
      <c r="P40" s="440"/>
      <c r="Q40" s="440"/>
      <c r="R40" s="440"/>
      <c r="S40" s="440"/>
      <c r="T40" s="440"/>
      <c r="U40" s="440"/>
      <c r="V40" s="440"/>
      <c r="W40" s="440"/>
      <c r="X40" s="440"/>
      <c r="Y40" s="440"/>
      <c r="Z40" s="440"/>
      <c r="AA40" s="440"/>
      <c r="AB40" s="440"/>
      <c r="AC40" s="440"/>
      <c r="AD40" s="440"/>
      <c r="AE40" s="636"/>
      <c r="AF40" s="440"/>
      <c r="AG40" s="440"/>
      <c r="AH40" s="440"/>
      <c r="AI40" s="440"/>
      <c r="AJ40" s="440"/>
      <c r="AK40" s="440"/>
      <c r="AU40" s="496"/>
    </row>
    <row r="41" spans="1:48">
      <c r="A41" s="767">
        <f>'ADJ DETAIL INPUT'!AA$10</f>
        <v>3.0199999999999996</v>
      </c>
      <c r="B41" s="760" t="str">
        <f>TRIM(CONCATENATE('ADJ DETAIL INPUT'!AA$7," ",'ADJ DETAIL INPUT'!AA$8," ",'ADJ DETAIL INPUT'!AA$9))</f>
        <v>Pro Forma Employee Benefits</v>
      </c>
      <c r="C41" s="761">
        <v>-224.11545000000001</v>
      </c>
      <c r="D41" s="761">
        <v>0</v>
      </c>
      <c r="E41" s="653">
        <f t="shared" si="10"/>
        <v>361</v>
      </c>
      <c r="F41" s="762">
        <f>'ADJ DETAIL INPUT'!AA$58</f>
        <v>-259.35000000000002</v>
      </c>
      <c r="G41" s="762">
        <f>'ADJ DETAIL INPUT'!AA$81</f>
        <v>0</v>
      </c>
      <c r="H41" s="653">
        <f t="shared" si="11"/>
        <v>418</v>
      </c>
      <c r="I41" s="653">
        <f t="shared" si="13"/>
        <v>418</v>
      </c>
      <c r="J41" s="653">
        <f t="shared" si="12"/>
        <v>57</v>
      </c>
      <c r="K41" s="160"/>
      <c r="L41" s="446"/>
      <c r="M41" s="446"/>
      <c r="N41" s="163"/>
      <c r="O41" s="440"/>
      <c r="P41" s="440"/>
      <c r="Q41" s="440"/>
      <c r="R41" s="440"/>
      <c r="S41" s="440"/>
      <c r="T41" s="440"/>
      <c r="U41" s="440"/>
      <c r="V41" s="440"/>
      <c r="W41" s="440"/>
      <c r="X41" s="440"/>
      <c r="Y41" s="440"/>
      <c r="Z41" s="440"/>
      <c r="AA41" s="440"/>
      <c r="AB41" s="440"/>
      <c r="AC41" s="440"/>
      <c r="AD41" s="440"/>
      <c r="AE41" s="636"/>
      <c r="AF41" s="440"/>
      <c r="AG41" s="440"/>
      <c r="AH41" s="440"/>
      <c r="AI41" s="440"/>
      <c r="AJ41" s="440"/>
      <c r="AK41" s="440"/>
      <c r="AU41" s="496"/>
    </row>
    <row r="42" spans="1:48" s="63" customFormat="1">
      <c r="A42" s="767">
        <f>'ADJ DETAIL INPUT'!AB$10</f>
        <v>3.0299999999999994</v>
      </c>
      <c r="B42" s="760" t="str">
        <f>TRIM(CONCATENATE('ADJ DETAIL INPUT'!AB$7," ",'ADJ DETAIL INPUT'!AB$8," ",'ADJ DETAIL INPUT'!AB$9))</f>
        <v>Pro Forma Pipeline Safety Labor</v>
      </c>
      <c r="C42" s="761">
        <v>-67.599999999999994</v>
      </c>
      <c r="D42" s="761">
        <v>0</v>
      </c>
      <c r="E42" s="653">
        <f t="shared" si="10"/>
        <v>109</v>
      </c>
      <c r="F42" s="762">
        <f>'ADJ DETAIL INPUT'!AB$58</f>
        <v>0</v>
      </c>
      <c r="G42" s="762">
        <f>'ADJ DETAIL INPUT'!AB$81</f>
        <v>0</v>
      </c>
      <c r="H42" s="653">
        <f t="shared" si="11"/>
        <v>0</v>
      </c>
      <c r="I42" s="653">
        <f t="shared" si="13"/>
        <v>0</v>
      </c>
      <c r="J42" s="653">
        <f t="shared" si="12"/>
        <v>-109</v>
      </c>
      <c r="K42" s="160"/>
      <c r="L42" s="122"/>
      <c r="M42" s="446"/>
      <c r="N42" s="122"/>
      <c r="O42" s="64"/>
      <c r="P42" s="64"/>
      <c r="Q42" s="64"/>
      <c r="R42" s="64"/>
      <c r="S42" s="64"/>
      <c r="T42" s="64"/>
      <c r="U42" s="64"/>
      <c r="V42" s="64"/>
      <c r="W42" s="64"/>
      <c r="X42" s="64"/>
      <c r="Y42" s="64"/>
      <c r="Z42" s="64"/>
      <c r="AA42" s="64"/>
      <c r="AB42" s="64"/>
      <c r="AC42" s="64"/>
      <c r="AD42" s="64"/>
      <c r="AE42" s="636"/>
      <c r="AF42" s="64"/>
      <c r="AG42" s="64"/>
      <c r="AH42" s="64"/>
      <c r="AI42" s="64"/>
      <c r="AJ42" s="64"/>
      <c r="AK42" s="64"/>
      <c r="AU42" s="121"/>
      <c r="AV42" s="64"/>
    </row>
    <row r="43" spans="1:48">
      <c r="A43" s="767">
        <f>'ADJ DETAIL INPUT'!AC$10</f>
        <v>3.0399999999999991</v>
      </c>
      <c r="B43" s="760" t="str">
        <f>TRIM(CONCATENATE('ADJ DETAIL INPUT'!AC$7," ",'ADJ DETAIL INPUT'!AC$8," ",'ADJ DETAIL INPUT'!AC$9))</f>
        <v>Pro Forma Property Tax</v>
      </c>
      <c r="C43" s="761">
        <v>-127.4</v>
      </c>
      <c r="D43" s="761">
        <v>0</v>
      </c>
      <c r="E43" s="653">
        <f t="shared" si="10"/>
        <v>205</v>
      </c>
      <c r="F43" s="762">
        <f>'ADJ DETAIL INPUT'!AC$58</f>
        <v>-149.5</v>
      </c>
      <c r="G43" s="762">
        <f>'ADJ DETAIL INPUT'!AC$81</f>
        <v>0</v>
      </c>
      <c r="H43" s="653">
        <f t="shared" si="11"/>
        <v>241</v>
      </c>
      <c r="I43" s="653">
        <f t="shared" si="13"/>
        <v>241</v>
      </c>
      <c r="J43" s="653">
        <f t="shared" si="12"/>
        <v>36</v>
      </c>
      <c r="K43" s="160"/>
      <c r="L43" s="446"/>
      <c r="M43" s="446"/>
      <c r="N43" s="163"/>
      <c r="O43" s="440"/>
      <c r="P43" s="440"/>
      <c r="Q43" s="440"/>
      <c r="R43" s="440"/>
      <c r="S43" s="440"/>
      <c r="T43" s="440"/>
      <c r="U43" s="440"/>
      <c r="V43" s="440"/>
      <c r="W43" s="440"/>
      <c r="X43" s="440"/>
      <c r="Y43" s="440"/>
      <c r="Z43" s="440"/>
      <c r="AA43" s="440"/>
      <c r="AB43" s="440"/>
      <c r="AC43" s="440"/>
      <c r="AD43" s="440"/>
      <c r="AE43" s="636"/>
      <c r="AF43" s="440"/>
      <c r="AG43" s="440"/>
      <c r="AH43" s="440"/>
      <c r="AI43" s="440"/>
      <c r="AJ43" s="440"/>
      <c r="AK43" s="440"/>
      <c r="AU43" s="496"/>
      <c r="AV43" s="440"/>
    </row>
    <row r="44" spans="1:48" s="120" customFormat="1">
      <c r="A44" s="767">
        <f>'ADJ DETAIL INPUT'!AD$10</f>
        <v>3.0499999999999989</v>
      </c>
      <c r="B44" s="763" t="str">
        <f>TRIM(CONCATENATE('ADJ DETAIL INPUT'!AD$7," ",'ADJ DETAIL INPUT'!AD$8," ",'ADJ DETAIL INPUT'!AD$9))</f>
        <v>Pro Forma Revenue Normalization</v>
      </c>
      <c r="C44" s="761">
        <v>8002.1500000000005</v>
      </c>
      <c r="D44" s="761">
        <v>0</v>
      </c>
      <c r="E44" s="653">
        <f t="shared" si="10"/>
        <v>-12907</v>
      </c>
      <c r="F44" s="764">
        <f>'ADJ DETAIL INPUT'!AD$58</f>
        <v>8002.1500000000005</v>
      </c>
      <c r="G44" s="764">
        <f>'ADJ DETAIL INPUT'!AD$81</f>
        <v>0</v>
      </c>
      <c r="H44" s="653">
        <f t="shared" si="11"/>
        <v>-12907</v>
      </c>
      <c r="I44" s="653">
        <f t="shared" si="13"/>
        <v>-12907</v>
      </c>
      <c r="J44" s="653">
        <f t="shared" si="12"/>
        <v>0</v>
      </c>
      <c r="K44" s="160"/>
      <c r="L44" s="446"/>
      <c r="M44" s="446"/>
      <c r="N44" s="446"/>
      <c r="O44" s="446"/>
      <c r="P44" s="446"/>
      <c r="Q44" s="446"/>
      <c r="R44" s="446"/>
      <c r="S44" s="446"/>
      <c r="T44" s="446"/>
      <c r="U44" s="446"/>
      <c r="V44" s="446"/>
      <c r="W44" s="446"/>
      <c r="X44" s="446"/>
      <c r="Y44" s="446"/>
      <c r="Z44" s="446"/>
      <c r="AA44" s="446"/>
      <c r="AB44" s="446"/>
      <c r="AC44" s="446"/>
      <c r="AD44" s="446"/>
      <c r="AE44" s="598"/>
      <c r="AF44" s="446"/>
      <c r="AG44" s="446"/>
      <c r="AH44" s="446"/>
      <c r="AI44" s="446"/>
      <c r="AJ44" s="446"/>
      <c r="AK44" s="446"/>
      <c r="AU44" s="496"/>
      <c r="AV44" s="446"/>
    </row>
    <row r="45" spans="1:48" s="447" customFormat="1">
      <c r="A45" s="767">
        <f>'ADJ DETAIL INPUT'!AE$10</f>
        <v>3.0599999999999987</v>
      </c>
      <c r="B45" s="763" t="str">
        <f>TRIM(CONCATENATE('ADJ DETAIL INPUT'!AE$7," ",'ADJ DETAIL INPUT'!AE$8," ",'ADJ DETAIL INPUT'!AE$9))</f>
        <v>Pro Forma Atmospheric Testing</v>
      </c>
      <c r="C45" s="761">
        <v>-153.4</v>
      </c>
      <c r="D45" s="761">
        <v>0</v>
      </c>
      <c r="E45" s="653">
        <f t="shared" si="10"/>
        <v>247</v>
      </c>
      <c r="F45" s="764">
        <f>'ADJ DETAIL INPUT'!AE$58</f>
        <v>-153.4</v>
      </c>
      <c r="G45" s="764">
        <f>'ADJ DETAIL INPUT'!AE$81</f>
        <v>0</v>
      </c>
      <c r="H45" s="653">
        <f t="shared" si="11"/>
        <v>247</v>
      </c>
      <c r="I45" s="653">
        <f t="shared" si="13"/>
        <v>247</v>
      </c>
      <c r="J45" s="653">
        <f t="shared" si="12"/>
        <v>0</v>
      </c>
      <c r="K45" s="160"/>
      <c r="L45" s="446"/>
      <c r="M45" s="446"/>
      <c r="N45" s="446"/>
      <c r="O45" s="446"/>
      <c r="P45" s="446"/>
      <c r="Q45" s="446"/>
      <c r="R45" s="446"/>
      <c r="S45" s="446"/>
      <c r="T45" s="446"/>
      <c r="U45" s="446"/>
      <c r="V45" s="446"/>
      <c r="W45" s="446"/>
      <c r="X45" s="446"/>
      <c r="Y45" s="446"/>
      <c r="Z45" s="446"/>
      <c r="AA45" s="446"/>
      <c r="AB45" s="446"/>
      <c r="AC45" s="446"/>
      <c r="AD45" s="446"/>
      <c r="AE45" s="598"/>
      <c r="AF45" s="446"/>
      <c r="AG45" s="446"/>
      <c r="AH45" s="446"/>
      <c r="AI45" s="446"/>
      <c r="AJ45" s="446"/>
      <c r="AK45" s="446"/>
      <c r="AU45" s="496"/>
    </row>
    <row r="46" spans="1:48" s="447" customFormat="1">
      <c r="A46" s="767">
        <f>'ADJ DETAIL INPUT'!AF$10</f>
        <v>3.0699999999999985</v>
      </c>
      <c r="B46" s="763" t="str">
        <f>TRIM(CONCATENATE('ADJ DETAIL INPUT'!AF$7," ",'ADJ DETAIL INPUT'!AF$8," ",'ADJ DETAIL INPUT'!AF$9))</f>
        <v>Pro Forma Regulatory Amortization</v>
      </c>
      <c r="C46" s="761">
        <v>-1679.6</v>
      </c>
      <c r="D46" s="761">
        <v>0</v>
      </c>
      <c r="E46" s="653">
        <f t="shared" si="10"/>
        <v>2709</v>
      </c>
      <c r="F46" s="764">
        <f>'ADJ DETAIL INPUT'!AF$58</f>
        <v>-1679.6</v>
      </c>
      <c r="G46" s="764">
        <f>'ADJ DETAIL INPUT'!AF$81</f>
        <v>0</v>
      </c>
      <c r="H46" s="653">
        <f t="shared" si="11"/>
        <v>2709</v>
      </c>
      <c r="I46" s="653">
        <f t="shared" si="13"/>
        <v>2709</v>
      </c>
      <c r="J46" s="653">
        <f t="shared" si="12"/>
        <v>0</v>
      </c>
      <c r="K46" s="160"/>
      <c r="L46" s="446"/>
      <c r="M46" s="446"/>
      <c r="N46" s="446"/>
      <c r="O46" s="446"/>
      <c r="P46" s="446"/>
      <c r="Q46" s="446"/>
      <c r="R46" s="446"/>
      <c r="S46" s="446"/>
      <c r="T46" s="446"/>
      <c r="U46" s="446"/>
      <c r="V46" s="446"/>
      <c r="W46" s="446"/>
      <c r="X46" s="446"/>
      <c r="Y46" s="446"/>
      <c r="Z46" s="446"/>
      <c r="AA46" s="446"/>
      <c r="AB46" s="446"/>
      <c r="AC46" s="446"/>
      <c r="AD46" s="446"/>
      <c r="AE46" s="598"/>
      <c r="AF46" s="446"/>
      <c r="AG46" s="446"/>
      <c r="AH46" s="446"/>
      <c r="AI46" s="446"/>
      <c r="AJ46" s="446"/>
      <c r="AK46" s="446"/>
      <c r="AU46" s="496"/>
    </row>
    <row r="47" spans="1:48" s="496" customFormat="1">
      <c r="A47" s="767">
        <f>'ADJ DETAIL INPUT'!AG$10</f>
        <v>3.0799999999999983</v>
      </c>
      <c r="B47" s="763" t="str">
        <f>TRIM(CONCATENATE('ADJ DETAIL INPUT'!AG$7," ",'ADJ DETAIL INPUT'!AG$8," ",'ADJ DETAIL INPUT'!AG$9))</f>
        <v>Pro Forma Capital Add Dec 2015 AMA</v>
      </c>
      <c r="C47" s="761">
        <v>-313.70636000000002</v>
      </c>
      <c r="D47" s="761">
        <v>6106</v>
      </c>
      <c r="E47" s="653">
        <f t="shared" si="10"/>
        <v>1258</v>
      </c>
      <c r="F47" s="764">
        <f>'ADJ DETAIL INPUT'!AG$58</f>
        <v>-304.61853710399998</v>
      </c>
      <c r="G47" s="764">
        <f>'ADJ DETAIL INPUT'!AG$81</f>
        <v>9640</v>
      </c>
      <c r="H47" s="653">
        <f t="shared" si="11"/>
        <v>1679</v>
      </c>
      <c r="I47" s="653">
        <f t="shared" si="13"/>
        <v>1626</v>
      </c>
      <c r="J47" s="653">
        <f t="shared" si="12"/>
        <v>421</v>
      </c>
      <c r="K47" s="160"/>
      <c r="L47" s="446"/>
      <c r="M47" s="446"/>
      <c r="N47" s="446"/>
      <c r="O47" s="446"/>
      <c r="P47" s="446"/>
      <c r="Q47" s="446"/>
      <c r="R47" s="446"/>
      <c r="S47" s="446"/>
      <c r="T47" s="446"/>
      <c r="U47" s="446"/>
      <c r="V47" s="446"/>
      <c r="W47" s="446"/>
      <c r="X47" s="446"/>
      <c r="Y47" s="446"/>
      <c r="Z47" s="446"/>
      <c r="AA47" s="446"/>
      <c r="AB47" s="446"/>
      <c r="AC47" s="446"/>
      <c r="AD47" s="446"/>
      <c r="AE47" s="598"/>
      <c r="AF47" s="446"/>
      <c r="AG47" s="446"/>
      <c r="AH47" s="446"/>
      <c r="AI47" s="446"/>
      <c r="AJ47" s="446"/>
      <c r="AK47" s="446"/>
    </row>
    <row r="48" spans="1:48" s="120" customFormat="1">
      <c r="A48" s="767">
        <f>'ADJ DETAIL INPUT'!AH$10</f>
        <v>3.0899999999999981</v>
      </c>
      <c r="B48" s="763" t="str">
        <f>TRIM(CONCATENATE('ADJ DETAIL INPUT'!AH$7," ",'ADJ DETAIL INPUT'!AH$8," ",'ADJ DETAIL INPUT'!AH$9))</f>
        <v>Pro Forma 2016 Limited Capital Adds</v>
      </c>
      <c r="C48" s="761">
        <v>-128.63720000000001</v>
      </c>
      <c r="D48" s="761">
        <v>18120</v>
      </c>
      <c r="E48" s="653">
        <f t="shared" si="10"/>
        <v>2440</v>
      </c>
      <c r="F48" s="764">
        <f>'ADJ DETAIL INPUT'!AH$58</f>
        <v>27.599542963199994</v>
      </c>
      <c r="G48" s="764">
        <f>'ADJ DETAIL INPUT'!AH$81</f>
        <v>7488</v>
      </c>
      <c r="H48" s="653">
        <f t="shared" si="11"/>
        <v>878</v>
      </c>
      <c r="I48" s="653">
        <f t="shared" si="13"/>
        <v>837</v>
      </c>
      <c r="J48" s="653">
        <f>+H48-E48</f>
        <v>-1562</v>
      </c>
      <c r="K48" s="160"/>
      <c r="L48" s="446"/>
      <c r="M48" s="446"/>
      <c r="N48" s="446"/>
      <c r="O48" s="446"/>
      <c r="P48" s="446"/>
      <c r="Q48" s="446"/>
      <c r="R48" s="446"/>
      <c r="S48" s="446"/>
      <c r="T48" s="446"/>
      <c r="U48" s="446"/>
      <c r="V48" s="446"/>
      <c r="W48" s="446"/>
      <c r="X48" s="446"/>
      <c r="Y48" s="446"/>
      <c r="Z48" s="446"/>
      <c r="AA48" s="446"/>
      <c r="AB48" s="446"/>
      <c r="AC48" s="446"/>
      <c r="AD48" s="446"/>
      <c r="AE48" s="598"/>
      <c r="AF48" s="446"/>
      <c r="AG48" s="446"/>
      <c r="AH48" s="446"/>
      <c r="AI48" s="446"/>
      <c r="AJ48" s="446"/>
      <c r="AK48" s="446"/>
      <c r="AU48" s="496"/>
    </row>
    <row r="49" spans="1:47" s="120" customFormat="1" ht="13.5" thickBot="1">
      <c r="A49" s="774">
        <f>'ADJ DETAIL INPUT'!AI$10</f>
        <v>3.0999999999999979</v>
      </c>
      <c r="B49" s="773" t="str">
        <f>TRIM(CONCATENATE('ADJ DETAIL INPUT'!AI$7," ",'ADJ DETAIL INPUT'!AI$8," ",'ADJ DETAIL INPUT'!AI$9))</f>
        <v>Pro Forma O&amp;M Offsets</v>
      </c>
      <c r="C49" s="794">
        <v>36.400000000000006</v>
      </c>
      <c r="D49" s="794">
        <v>0</v>
      </c>
      <c r="E49" s="770">
        <f t="shared" si="10"/>
        <v>-59</v>
      </c>
      <c r="F49" s="771">
        <f>'ADJ DETAIL INPUT'!AI$58</f>
        <v>22.1</v>
      </c>
      <c r="G49" s="771">
        <f>'ADJ DETAIL INPUT'!AI$81</f>
        <v>0</v>
      </c>
      <c r="H49" s="770">
        <f t="shared" si="11"/>
        <v>-36</v>
      </c>
      <c r="I49" s="770">
        <f t="shared" si="13"/>
        <v>-36</v>
      </c>
      <c r="J49" s="770">
        <f t="shared" si="12"/>
        <v>23</v>
      </c>
      <c r="K49" s="160"/>
      <c r="L49" s="446"/>
      <c r="M49" s="446"/>
      <c r="N49" s="446"/>
      <c r="O49" s="446"/>
      <c r="P49" s="446"/>
      <c r="Q49" s="446"/>
      <c r="R49" s="446"/>
      <c r="S49" s="446"/>
      <c r="T49" s="446"/>
      <c r="U49" s="446"/>
      <c r="V49" s="446"/>
      <c r="W49" s="446"/>
      <c r="X49" s="446"/>
      <c r="Y49" s="446"/>
      <c r="Z49" s="446"/>
      <c r="AA49" s="446"/>
      <c r="AB49" s="446"/>
      <c r="AC49" s="446"/>
      <c r="AD49" s="446"/>
      <c r="AE49" s="598"/>
      <c r="AF49" s="446"/>
      <c r="AG49" s="446"/>
      <c r="AH49" s="446"/>
      <c r="AI49" s="446"/>
      <c r="AJ49" s="446"/>
      <c r="AK49" s="446"/>
      <c r="AU49" s="496"/>
    </row>
    <row r="50" spans="1:47" s="496" customFormat="1">
      <c r="A50" s="774"/>
      <c r="B50" s="773"/>
      <c r="C50" s="769"/>
      <c r="D50" s="769"/>
      <c r="E50" s="652"/>
      <c r="F50" s="772"/>
      <c r="G50" s="772"/>
      <c r="H50" s="652"/>
      <c r="I50" s="652"/>
      <c r="J50" s="652"/>
      <c r="K50" s="160"/>
      <c r="L50" s="446"/>
      <c r="M50" s="446"/>
      <c r="N50" s="446"/>
      <c r="O50" s="446"/>
      <c r="P50" s="446"/>
      <c r="Q50" s="446"/>
      <c r="R50" s="446"/>
      <c r="S50" s="446"/>
      <c r="T50" s="446"/>
      <c r="U50" s="446"/>
      <c r="V50" s="446"/>
      <c r="W50" s="446"/>
      <c r="X50" s="446"/>
      <c r="Y50" s="446"/>
      <c r="Z50" s="446"/>
      <c r="AA50" s="446"/>
      <c r="AB50" s="446"/>
      <c r="AC50" s="446"/>
      <c r="AD50" s="446"/>
      <c r="AE50" s="598"/>
      <c r="AF50" s="446"/>
      <c r="AG50" s="446"/>
      <c r="AH50" s="446"/>
      <c r="AI50" s="446"/>
      <c r="AJ50" s="446"/>
      <c r="AK50" s="446"/>
    </row>
    <row r="51" spans="1:47" s="496" customFormat="1">
      <c r="A51" s="795" t="s">
        <v>583</v>
      </c>
      <c r="B51" s="773"/>
      <c r="C51" s="793"/>
      <c r="D51" s="793"/>
      <c r="E51" s="652"/>
      <c r="F51" s="772"/>
      <c r="G51" s="772"/>
      <c r="H51" s="652"/>
      <c r="I51" s="652"/>
      <c r="J51" s="652"/>
      <c r="K51" s="160"/>
      <c r="L51" s="446"/>
      <c r="M51" s="446"/>
      <c r="N51" s="446"/>
      <c r="O51" s="446"/>
      <c r="P51" s="446"/>
      <c r="Q51" s="446"/>
      <c r="R51" s="446"/>
      <c r="S51" s="446"/>
      <c r="T51" s="446"/>
      <c r="U51" s="446"/>
      <c r="V51" s="446"/>
      <c r="W51" s="446"/>
      <c r="X51" s="446"/>
      <c r="Y51" s="446"/>
      <c r="Z51" s="446"/>
      <c r="AA51" s="446"/>
      <c r="AB51" s="446"/>
      <c r="AC51" s="446"/>
      <c r="AD51" s="446"/>
      <c r="AE51" s="598"/>
      <c r="AF51" s="446"/>
      <c r="AG51" s="446"/>
      <c r="AH51" s="446"/>
      <c r="AI51" s="446"/>
      <c r="AJ51" s="446"/>
      <c r="AK51" s="446"/>
    </row>
    <row r="52" spans="1:47" s="496" customFormat="1">
      <c r="A52" s="774">
        <f>'ADJ DETAIL INPUT'!AL$10</f>
        <v>4</v>
      </c>
      <c r="B52" s="773" t="str">
        <f>TRIM(CONCATENATE('ADJ DETAIL INPUT'!AL$7," ",'ADJ DETAIL INPUT'!AL$8," ",'ADJ DETAIL INPUT'!AL$9))</f>
        <v>Cross Check Labor Non-Exec</v>
      </c>
      <c r="C52" s="717">
        <v>-107.9</v>
      </c>
      <c r="D52" s="717">
        <v>0</v>
      </c>
      <c r="E52" s="653">
        <f t="shared" si="10"/>
        <v>174</v>
      </c>
      <c r="F52" s="772">
        <f>'ADJ DETAIL INPUT'!AL$58</f>
        <v>0</v>
      </c>
      <c r="G52" s="772">
        <f>'ADJ DETAIL INPUT'!AL$81</f>
        <v>0</v>
      </c>
      <c r="H52" s="653">
        <f t="shared" si="11"/>
        <v>0</v>
      </c>
      <c r="I52" s="653">
        <f>ROUND((-+F52+(G52*7.3%))/0.620003,0)</f>
        <v>0</v>
      </c>
      <c r="J52" s="653">
        <f t="shared" si="12"/>
        <v>-174</v>
      </c>
      <c r="K52" s="160"/>
      <c r="L52" s="446"/>
      <c r="M52" s="647"/>
      <c r="N52" s="446"/>
      <c r="O52" s="446"/>
      <c r="P52" s="446"/>
      <c r="Q52" s="446"/>
      <c r="R52" s="446"/>
      <c r="S52" s="446"/>
      <c r="T52" s="446"/>
      <c r="U52" s="446"/>
      <c r="V52" s="446"/>
      <c r="W52" s="446"/>
      <c r="X52" s="446"/>
      <c r="Y52" s="446"/>
      <c r="Z52" s="446"/>
      <c r="AA52" s="446"/>
      <c r="AB52" s="446"/>
      <c r="AC52" s="446"/>
      <c r="AD52" s="446"/>
      <c r="AE52" s="598"/>
      <c r="AF52" s="446"/>
      <c r="AG52" s="446"/>
      <c r="AH52" s="446"/>
      <c r="AI52" s="446"/>
      <c r="AJ52" s="446"/>
      <c r="AK52" s="446"/>
    </row>
    <row r="53" spans="1:47" s="120" customFormat="1">
      <c r="A53" s="774">
        <f>'ADJ DETAIL INPUT'!AM$10</f>
        <v>4.01</v>
      </c>
      <c r="B53" s="773" t="str">
        <f>TRIM(CONCATENATE('ADJ DETAIL INPUT'!AM$7," ",'ADJ DETAIL INPUT'!AM$8," ",'ADJ DETAIL INPUT'!AM$9))</f>
        <v>Cross Check Capital Add 2016 AMA</v>
      </c>
      <c r="C53" s="717">
        <v>-945.65297999999996</v>
      </c>
      <c r="D53" s="717">
        <v>1383</v>
      </c>
      <c r="E53" s="653">
        <f t="shared" si="10"/>
        <v>1696</v>
      </c>
      <c r="F53" s="772">
        <f>'ADJ DETAIL INPUT'!AM$58</f>
        <v>0</v>
      </c>
      <c r="G53" s="772">
        <f>'ADJ DETAIL INPUT'!AM$81</f>
        <v>0</v>
      </c>
      <c r="H53" s="653">
        <f t="shared" si="11"/>
        <v>0</v>
      </c>
      <c r="I53" s="653">
        <f t="shared" ref="I53:I60" si="14">ROUND((-+F53+(G53*7.3%))/0.620003,0)</f>
        <v>0</v>
      </c>
      <c r="J53" s="653">
        <f t="shared" si="12"/>
        <v>-1696</v>
      </c>
      <c r="K53" s="160"/>
      <c r="L53" s="446"/>
      <c r="M53" s="647"/>
      <c r="N53" s="446"/>
      <c r="O53" s="446"/>
      <c r="P53" s="446"/>
      <c r="Q53" s="446"/>
      <c r="R53" s="446"/>
      <c r="S53" s="446"/>
      <c r="T53" s="446"/>
      <c r="U53" s="446"/>
      <c r="V53" s="446"/>
      <c r="W53" s="446"/>
      <c r="X53" s="446"/>
      <c r="Y53" s="446"/>
      <c r="Z53" s="446"/>
      <c r="AA53" s="446"/>
      <c r="AB53" s="446"/>
      <c r="AC53" s="446"/>
      <c r="AD53" s="446"/>
      <c r="AE53" s="598"/>
      <c r="AF53" s="446"/>
      <c r="AG53" s="446"/>
      <c r="AH53" s="446"/>
      <c r="AI53" s="446"/>
      <c r="AJ53" s="446"/>
      <c r="AK53" s="446"/>
      <c r="AU53" s="496"/>
    </row>
    <row r="54" spans="1:47" s="120" customFormat="1">
      <c r="A54" s="774">
        <f>'ADJ DETAIL INPUT'!AN$10</f>
        <v>4.0199999999999996</v>
      </c>
      <c r="B54" s="773" t="str">
        <f>TRIM(CONCATENATE('ADJ DETAIL INPUT'!AN$7," ",'ADJ DETAIL INPUT'!AN$8," ",'ADJ DETAIL INPUT'!AN$9))</f>
        <v>Cross Check Capital Add 2017 AMA</v>
      </c>
      <c r="C54" s="717">
        <v>-1000.3773600000001</v>
      </c>
      <c r="D54" s="717">
        <v>8956</v>
      </c>
      <c r="E54" s="653">
        <f t="shared" si="10"/>
        <v>2717</v>
      </c>
      <c r="F54" s="772">
        <f>'ADJ DETAIL INPUT'!AN$58</f>
        <v>0</v>
      </c>
      <c r="G54" s="772">
        <f>'ADJ DETAIL INPUT'!AN$81</f>
        <v>0</v>
      </c>
      <c r="H54" s="653">
        <f t="shared" si="11"/>
        <v>0</v>
      </c>
      <c r="I54" s="653">
        <f t="shared" si="14"/>
        <v>0</v>
      </c>
      <c r="J54" s="653">
        <f t="shared" si="12"/>
        <v>-2717</v>
      </c>
      <c r="K54" s="160"/>
      <c r="L54" s="446"/>
      <c r="M54" s="647"/>
      <c r="N54" s="446"/>
      <c r="O54" s="446"/>
      <c r="P54" s="446"/>
      <c r="Q54" s="446"/>
      <c r="R54" s="446"/>
      <c r="S54" s="446"/>
      <c r="T54" s="446"/>
      <c r="U54" s="446"/>
      <c r="V54" s="446"/>
      <c r="W54" s="446"/>
      <c r="X54" s="446"/>
      <c r="Y54" s="446"/>
      <c r="Z54" s="446"/>
      <c r="AA54" s="446"/>
      <c r="AB54" s="446"/>
      <c r="AC54" s="446"/>
      <c r="AD54" s="446"/>
      <c r="AE54" s="598"/>
      <c r="AF54" s="446"/>
      <c r="AG54" s="446"/>
      <c r="AH54" s="446"/>
      <c r="AI54" s="446"/>
      <c r="AJ54" s="446"/>
      <c r="AK54" s="446"/>
      <c r="AU54" s="496"/>
    </row>
    <row r="55" spans="1:47" s="496" customFormat="1">
      <c r="A55" s="774">
        <f>'ADJ DETAIL INPUT'!AO$10</f>
        <v>4.0299999999999994</v>
      </c>
      <c r="B55" s="773" t="str">
        <f>TRIM(CONCATENATE('ADJ DETAIL INPUT'!AO$7," ",'ADJ DETAIL INPUT'!AO$8," ",'ADJ DETAIL INPUT'!AO$9))</f>
        <v>Cross Check 2017 AMI Capital &amp; Expense</v>
      </c>
      <c r="C55" s="717">
        <v>-661.26017999999999</v>
      </c>
      <c r="D55" s="717">
        <v>9003</v>
      </c>
      <c r="E55" s="653">
        <f t="shared" si="10"/>
        <v>2176</v>
      </c>
      <c r="F55" s="772">
        <f>'ADJ DETAIL INPUT'!AO$58</f>
        <v>0</v>
      </c>
      <c r="G55" s="772">
        <f>'ADJ DETAIL INPUT'!AO$81</f>
        <v>0</v>
      </c>
      <c r="H55" s="653">
        <f t="shared" si="11"/>
        <v>0</v>
      </c>
      <c r="I55" s="653">
        <f t="shared" si="14"/>
        <v>0</v>
      </c>
      <c r="J55" s="653">
        <f t="shared" si="12"/>
        <v>-2176</v>
      </c>
      <c r="K55" s="160"/>
      <c r="L55" s="446"/>
      <c r="M55" s="446"/>
      <c r="N55" s="446"/>
      <c r="O55" s="446"/>
      <c r="P55" s="446"/>
      <c r="Q55" s="446"/>
      <c r="R55" s="446"/>
      <c r="S55" s="446"/>
      <c r="T55" s="446"/>
      <c r="U55" s="446"/>
      <c r="V55" s="446"/>
      <c r="W55" s="446"/>
      <c r="X55" s="446"/>
      <c r="Y55" s="446"/>
      <c r="Z55" s="446"/>
      <c r="AA55" s="446"/>
      <c r="AB55" s="446"/>
      <c r="AC55" s="446"/>
      <c r="AD55" s="446"/>
      <c r="AE55" s="598"/>
      <c r="AF55" s="446"/>
      <c r="AG55" s="446"/>
      <c r="AH55" s="446"/>
      <c r="AI55" s="446"/>
      <c r="AJ55" s="446"/>
      <c r="AK55" s="446"/>
    </row>
    <row r="56" spans="1:47" s="496" customFormat="1">
      <c r="A56" s="774">
        <f>'ADJ DETAIL INPUT'!AP$10</f>
        <v>4.0399999999999991</v>
      </c>
      <c r="B56" s="773" t="str">
        <f>TRIM(CONCATENATE('ADJ DETAIL INPUT'!AP$7," ",'ADJ DETAIL INPUT'!AP$8," ",'ADJ DETAIL INPUT'!AP$9))</f>
        <v>Cross Check Information Tech/Serv Exp</v>
      </c>
      <c r="C56" s="717">
        <v>-298.35000000000002</v>
      </c>
      <c r="D56" s="717">
        <v>0</v>
      </c>
      <c r="E56" s="653">
        <f t="shared" si="10"/>
        <v>481</v>
      </c>
      <c r="F56" s="772">
        <f>'ADJ DETAIL INPUT'!AP$58</f>
        <v>0</v>
      </c>
      <c r="G56" s="772">
        <f>'ADJ DETAIL INPUT'!AP$81</f>
        <v>0</v>
      </c>
      <c r="H56" s="653">
        <f t="shared" si="11"/>
        <v>0</v>
      </c>
      <c r="I56" s="653">
        <f t="shared" si="14"/>
        <v>0</v>
      </c>
      <c r="J56" s="653">
        <f t="shared" si="12"/>
        <v>-481</v>
      </c>
      <c r="K56" s="160"/>
      <c r="L56" s="446"/>
      <c r="M56" s="446"/>
      <c r="N56" s="446"/>
      <c r="O56" s="446"/>
      <c r="P56" s="446"/>
      <c r="Q56" s="446"/>
      <c r="R56" s="446"/>
      <c r="S56" s="446"/>
      <c r="T56" s="446"/>
      <c r="U56" s="446"/>
      <c r="V56" s="446"/>
      <c r="W56" s="446"/>
      <c r="X56" s="446"/>
      <c r="Y56" s="446"/>
      <c r="Z56" s="446"/>
      <c r="AA56" s="446"/>
      <c r="AB56" s="446"/>
      <c r="AC56" s="446"/>
      <c r="AD56" s="446"/>
      <c r="AE56" s="598"/>
      <c r="AF56" s="446"/>
      <c r="AG56" s="446"/>
      <c r="AH56" s="446"/>
      <c r="AI56" s="446"/>
      <c r="AJ56" s="446"/>
      <c r="AK56" s="446"/>
    </row>
    <row r="57" spans="1:47" s="496" customFormat="1" ht="12" customHeight="1">
      <c r="A57" s="774">
        <f>'ADJ DETAIL INPUT'!AQ$10</f>
        <v>4.0499999999999989</v>
      </c>
      <c r="B57" s="773" t="str">
        <f>TRIM(CONCATENATE('ADJ DETAIL INPUT'!AQ$7," ",'ADJ DETAIL INPUT'!AQ$8," ",'ADJ DETAIL INPUT'!AQ$9))</f>
        <v>Cross Check Insurance Expense</v>
      </c>
      <c r="C57" s="717">
        <v>-14.3</v>
      </c>
      <c r="D57" s="717">
        <v>0</v>
      </c>
      <c r="E57" s="653">
        <f t="shared" si="10"/>
        <v>23</v>
      </c>
      <c r="F57" s="772">
        <f>'ADJ DETAIL INPUT'!AQ$58</f>
        <v>0</v>
      </c>
      <c r="G57" s="772">
        <f>'ADJ DETAIL INPUT'!AQ$81</f>
        <v>0</v>
      </c>
      <c r="H57" s="653">
        <f t="shared" si="11"/>
        <v>0</v>
      </c>
      <c r="I57" s="653">
        <f t="shared" si="14"/>
        <v>0</v>
      </c>
      <c r="J57" s="653">
        <f t="shared" si="12"/>
        <v>-23</v>
      </c>
      <c r="K57" s="160"/>
      <c r="L57" s="446"/>
      <c r="M57" s="446"/>
      <c r="N57" s="446"/>
      <c r="O57" s="446"/>
      <c r="P57" s="446"/>
      <c r="Q57" s="446"/>
      <c r="R57" s="446"/>
      <c r="S57" s="446"/>
      <c r="T57" s="446"/>
      <c r="U57" s="446"/>
      <c r="V57" s="446"/>
      <c r="W57" s="446"/>
      <c r="X57" s="446"/>
      <c r="Y57" s="446"/>
      <c r="Z57" s="446"/>
      <c r="AA57" s="446"/>
      <c r="AB57" s="446"/>
      <c r="AC57" s="446"/>
      <c r="AD57" s="446"/>
      <c r="AE57" s="598"/>
      <c r="AF57" s="446"/>
      <c r="AG57" s="446"/>
      <c r="AH57" s="446"/>
      <c r="AI57" s="446"/>
      <c r="AJ57" s="446"/>
      <c r="AK57" s="446"/>
    </row>
    <row r="58" spans="1:47" s="496" customFormat="1" ht="12" customHeight="1">
      <c r="A58" s="774">
        <f>'ADJ DETAIL INPUT'!AR$10</f>
        <v>4.0599999999999987</v>
      </c>
      <c r="B58" s="773" t="str">
        <f>TRIM(CONCATENATE('ADJ DETAIL INPUT'!AR$7," ",'ADJ DETAIL INPUT'!AR$8," ",'ADJ DETAIL INPUT'!AR$9))</f>
        <v>Cross Check Property Tax Exp</v>
      </c>
      <c r="C58" s="717">
        <v>-167.7</v>
      </c>
      <c r="D58" s="717">
        <v>0</v>
      </c>
      <c r="E58" s="653">
        <f>ROUND((-+C58+(D58*7.64%))/0.620003,0)+3</f>
        <v>273</v>
      </c>
      <c r="F58" s="772">
        <f>'ADJ DETAIL INPUT'!AR$58</f>
        <v>0</v>
      </c>
      <c r="G58" s="772">
        <f>'ADJ DETAIL INPUT'!AR$81</f>
        <v>0</v>
      </c>
      <c r="H58" s="653">
        <f t="shared" si="11"/>
        <v>0</v>
      </c>
      <c r="I58" s="653">
        <f t="shared" si="14"/>
        <v>0</v>
      </c>
      <c r="J58" s="653">
        <f t="shared" si="12"/>
        <v>-273</v>
      </c>
      <c r="K58" s="160"/>
      <c r="L58" s="446"/>
      <c r="M58" s="446"/>
      <c r="N58" s="446"/>
      <c r="O58" s="446"/>
      <c r="P58" s="446"/>
      <c r="Q58" s="446"/>
      <c r="R58" s="446"/>
      <c r="S58" s="446"/>
      <c r="T58" s="446"/>
      <c r="U58" s="446"/>
      <c r="V58" s="446"/>
      <c r="W58" s="446"/>
      <c r="X58" s="446"/>
      <c r="Y58" s="446"/>
      <c r="Z58" s="446"/>
      <c r="AA58" s="446"/>
      <c r="AB58" s="446"/>
      <c r="AC58" s="446"/>
      <c r="AD58" s="446"/>
      <c r="AE58" s="598"/>
      <c r="AF58" s="446"/>
      <c r="AG58" s="446"/>
      <c r="AH58" s="446"/>
      <c r="AI58" s="446"/>
      <c r="AJ58" s="446"/>
      <c r="AK58" s="446"/>
    </row>
    <row r="59" spans="1:47" s="120" customFormat="1">
      <c r="A59" s="774">
        <f>'ADJ DETAIL INPUT'!AT$10</f>
        <v>4.0699999999999985</v>
      </c>
      <c r="B59" s="773" t="str">
        <f>TRIM(CONCATENATE('ADJ DETAIL INPUT'!AT$7," ",'ADJ DETAIL INPUT'!AT$8," ",'ADJ DETAIL INPUT'!AT$9))</f>
        <v>Reconcile 2017 Cross Check to Attrition</v>
      </c>
      <c r="C59" s="717">
        <v>659.10120000000006</v>
      </c>
      <c r="D59" s="717">
        <v>-7520</v>
      </c>
      <c r="E59" s="652">
        <f>ROUND((-+C59+(D59*7.64%))/0.620003,0)+3</f>
        <v>-1987</v>
      </c>
      <c r="F59" s="772">
        <f>'ADJ DETAIL INPUT'!AT$58</f>
        <v>0</v>
      </c>
      <c r="G59" s="772">
        <f>'ADJ DETAIL INPUT'!AT$81</f>
        <v>0</v>
      </c>
      <c r="H59" s="652">
        <f t="shared" si="11"/>
        <v>0</v>
      </c>
      <c r="I59" s="653">
        <f t="shared" si="14"/>
        <v>0</v>
      </c>
      <c r="J59" s="652">
        <f t="shared" si="12"/>
        <v>1987</v>
      </c>
      <c r="K59" s="160"/>
      <c r="L59" s="446"/>
      <c r="M59" s="446"/>
      <c r="N59" s="446"/>
      <c r="O59" s="446"/>
      <c r="P59" s="446"/>
      <c r="Q59" s="446"/>
      <c r="R59" s="446"/>
      <c r="S59" s="446"/>
      <c r="T59" s="446"/>
      <c r="U59" s="446"/>
      <c r="V59" s="446"/>
      <c r="W59" s="446"/>
      <c r="X59" s="446"/>
      <c r="Y59" s="446"/>
      <c r="Z59" s="446"/>
      <c r="AA59" s="446"/>
      <c r="AB59" s="446"/>
      <c r="AC59" s="446"/>
      <c r="AD59" s="446"/>
      <c r="AE59" s="598"/>
      <c r="AF59" s="446"/>
      <c r="AG59" s="446"/>
      <c r="AH59" s="446"/>
      <c r="AI59" s="446"/>
      <c r="AJ59" s="446"/>
      <c r="AK59" s="446"/>
      <c r="AU59" s="496"/>
    </row>
    <row r="60" spans="1:47" s="120" customFormat="1">
      <c r="A60" s="779">
        <v>4.08</v>
      </c>
      <c r="B60" s="775" t="s">
        <v>584</v>
      </c>
      <c r="C60" s="776"/>
      <c r="D60" s="776"/>
      <c r="E60" s="777"/>
      <c r="F60" s="772">
        <f>'ADJ DETAIL INPUT'!AU$58</f>
        <v>-2028.9201528731878</v>
      </c>
      <c r="G60" s="905">
        <f>'ADJ DETAIL INPUT'!AU$81</f>
        <v>18729.690097402548</v>
      </c>
      <c r="H60" s="906">
        <f t="shared" ref="H60" si="15">ROUND((-+F60+(G60*7.64%))/0.620003,0)</f>
        <v>5580</v>
      </c>
      <c r="I60" s="907">
        <f t="shared" si="14"/>
        <v>5478</v>
      </c>
      <c r="J60" s="906">
        <f t="shared" ref="J60" si="16">+H60-E60</f>
        <v>5580</v>
      </c>
      <c r="K60" s="160"/>
      <c r="L60" s="446"/>
      <c r="M60" s="446"/>
      <c r="N60" s="446"/>
      <c r="O60" s="446"/>
      <c r="P60" s="446"/>
      <c r="Q60" s="446"/>
      <c r="R60" s="446"/>
      <c r="S60" s="446"/>
      <c r="T60" s="446"/>
      <c r="U60" s="446"/>
      <c r="V60" s="446"/>
      <c r="W60" s="446"/>
      <c r="X60" s="446"/>
      <c r="Y60" s="446"/>
      <c r="Z60" s="446"/>
      <c r="AA60" s="446"/>
      <c r="AB60" s="446"/>
      <c r="AC60" s="446"/>
      <c r="AD60" s="446"/>
      <c r="AE60" s="598"/>
      <c r="AF60" s="446"/>
      <c r="AG60" s="446"/>
      <c r="AH60" s="446"/>
      <c r="AI60" s="446"/>
      <c r="AJ60" s="446"/>
      <c r="AK60" s="446"/>
      <c r="AU60" s="496"/>
    </row>
    <row r="61" spans="1:47" ht="16.5" customHeight="1" thickBot="1">
      <c r="A61" s="774"/>
      <c r="B61" s="653" t="s">
        <v>128</v>
      </c>
      <c r="C61" s="768">
        <f>SUM(C35:C60)</f>
        <v>20065.374490000002</v>
      </c>
      <c r="D61" s="768">
        <f>SUM(D35:D60)</f>
        <v>298315</v>
      </c>
      <c r="E61" s="768">
        <f>SUM(E35:E60)</f>
        <v>4397</v>
      </c>
      <c r="F61" s="768">
        <f>SUM(F35:F60)</f>
        <v>20434.171690145216</v>
      </c>
      <c r="G61" s="908">
        <f>SUM(G35:G60)</f>
        <v>298124.69009740255</v>
      </c>
      <c r="H61" s="908">
        <f t="shared" ref="H61" si="17">SUM(H35:H60)</f>
        <v>3774</v>
      </c>
      <c r="I61" s="908">
        <f>SUM(I35:I60)+2</f>
        <v>2143</v>
      </c>
      <c r="J61" s="908">
        <f>SUM(J35:J60)</f>
        <v>-623</v>
      </c>
      <c r="K61" s="446"/>
      <c r="L61" s="446"/>
      <c r="M61" s="446"/>
      <c r="N61" s="164"/>
      <c r="O61" s="440"/>
      <c r="P61" s="440"/>
      <c r="Q61" s="440"/>
      <c r="R61" s="440"/>
      <c r="S61" s="440"/>
      <c r="T61" s="440"/>
      <c r="U61" s="440"/>
      <c r="V61" s="440"/>
      <c r="W61" s="440"/>
      <c r="X61" s="440"/>
      <c r="Y61" s="440"/>
      <c r="Z61" s="440"/>
      <c r="AA61" s="440"/>
      <c r="AB61" s="440"/>
      <c r="AC61" s="440"/>
      <c r="AD61" s="440"/>
      <c r="AE61" s="636"/>
      <c r="AF61" s="440"/>
      <c r="AG61" s="440"/>
      <c r="AH61" s="440"/>
      <c r="AI61" s="440"/>
      <c r="AJ61" s="440"/>
      <c r="AK61" s="440"/>
      <c r="AU61" s="496"/>
    </row>
    <row r="62" spans="1:47" ht="13.5" thickTop="1">
      <c r="A62" s="58"/>
      <c r="B62" s="652" t="s">
        <v>559</v>
      </c>
      <c r="C62" s="56"/>
      <c r="F62" s="444">
        <f>+F61</f>
        <v>20434.171690145216</v>
      </c>
      <c r="G62" s="444">
        <f>+G61</f>
        <v>298124.69009740255</v>
      </c>
      <c r="H62" s="48">
        <f>+I61</f>
        <v>2143</v>
      </c>
      <c r="I62" s="440"/>
      <c r="J62" s="440"/>
      <c r="K62" s="446"/>
      <c r="L62" s="446"/>
      <c r="M62" s="446"/>
      <c r="N62" s="446"/>
      <c r="O62" s="440"/>
      <c r="P62" s="440"/>
      <c r="Q62" s="440"/>
      <c r="R62" s="440"/>
      <c r="S62" s="440"/>
      <c r="T62" s="440"/>
      <c r="U62" s="440"/>
      <c r="V62" s="440"/>
      <c r="W62" s="440"/>
      <c r="X62" s="440"/>
      <c r="Y62" s="440"/>
      <c r="Z62" s="440"/>
      <c r="AA62" s="440"/>
      <c r="AB62" s="440"/>
      <c r="AC62" s="440"/>
      <c r="AD62" s="440"/>
      <c r="AE62" s="636"/>
      <c r="AF62" s="440"/>
      <c r="AG62" s="440"/>
      <c r="AH62" s="440"/>
      <c r="AI62" s="440"/>
      <c r="AJ62" s="440"/>
      <c r="AK62" s="440"/>
      <c r="AU62" s="496"/>
    </row>
    <row r="63" spans="1:47">
      <c r="A63" s="58"/>
      <c r="C63" s="56"/>
      <c r="F63" s="56"/>
      <c r="H63" s="47"/>
      <c r="I63" s="440"/>
      <c r="J63" s="440"/>
      <c r="K63" s="446"/>
      <c r="L63" s="446"/>
      <c r="M63" s="446"/>
      <c r="N63" s="446"/>
      <c r="O63" s="440"/>
      <c r="P63" s="440"/>
      <c r="Q63" s="440"/>
      <c r="R63" s="440"/>
      <c r="S63" s="440"/>
      <c r="T63" s="440"/>
      <c r="U63" s="440"/>
      <c r="V63" s="440"/>
      <c r="W63" s="440"/>
      <c r="X63" s="440"/>
      <c r="Y63" s="440"/>
      <c r="Z63" s="440"/>
      <c r="AA63" s="440"/>
      <c r="AB63" s="440"/>
      <c r="AC63" s="440"/>
      <c r="AD63" s="440"/>
      <c r="AE63" s="636"/>
      <c r="AF63" s="440"/>
      <c r="AG63" s="440"/>
      <c r="AH63" s="440"/>
      <c r="AI63" s="440"/>
      <c r="AJ63" s="440"/>
      <c r="AK63" s="440"/>
      <c r="AU63" s="496"/>
    </row>
    <row r="64" spans="1:47">
      <c r="A64" s="904" t="s">
        <v>596</v>
      </c>
      <c r="B64" s="117"/>
      <c r="C64" s="56"/>
      <c r="D64" s="57"/>
      <c r="F64" s="56"/>
      <c r="H64" s="47"/>
      <c r="I64" s="440"/>
      <c r="J64" s="440"/>
      <c r="K64" s="446"/>
      <c r="L64" s="446"/>
      <c r="M64" s="446"/>
      <c r="N64" s="160"/>
      <c r="O64" s="440"/>
      <c r="P64" s="440"/>
      <c r="Q64" s="440"/>
      <c r="R64" s="440"/>
      <c r="S64" s="440"/>
      <c r="T64" s="440"/>
      <c r="U64" s="440"/>
      <c r="V64" s="440"/>
      <c r="W64" s="440"/>
      <c r="X64" s="440"/>
      <c r="Y64" s="440"/>
      <c r="Z64" s="440"/>
      <c r="AA64" s="440"/>
      <c r="AB64" s="440"/>
      <c r="AC64" s="440"/>
      <c r="AD64" s="440"/>
      <c r="AE64" s="636"/>
      <c r="AF64" s="440"/>
      <c r="AG64" s="440"/>
      <c r="AH64" s="440"/>
      <c r="AI64" s="440"/>
      <c r="AJ64" s="440"/>
      <c r="AK64" s="440"/>
    </row>
    <row r="65" spans="1:37">
      <c r="A65" s="116"/>
      <c r="B65" s="53"/>
      <c r="C65" s="56"/>
      <c r="D65" s="57"/>
      <c r="F65" s="56"/>
      <c r="H65" s="648" t="s">
        <v>553</v>
      </c>
      <c r="J65" s="649">
        <f>+E61</f>
        <v>4397</v>
      </c>
      <c r="K65" s="446"/>
      <c r="L65" s="446"/>
      <c r="M65" s="161"/>
      <c r="N65" s="446"/>
      <c r="O65" s="440"/>
      <c r="P65" s="440"/>
      <c r="Q65" s="440"/>
      <c r="R65" s="440"/>
      <c r="S65" s="440"/>
      <c r="T65" s="440"/>
      <c r="U65" s="440"/>
      <c r="V65" s="440"/>
      <c r="W65" s="440"/>
      <c r="X65" s="440"/>
      <c r="Y65" s="440"/>
      <c r="Z65" s="440"/>
      <c r="AA65" s="440"/>
      <c r="AB65" s="440"/>
      <c r="AC65" s="440"/>
      <c r="AD65" s="440"/>
      <c r="AE65" s="636"/>
      <c r="AF65" s="440"/>
      <c r="AG65" s="440"/>
      <c r="AH65" s="440"/>
      <c r="AI65" s="440"/>
      <c r="AJ65" s="440"/>
      <c r="AK65" s="440"/>
    </row>
    <row r="66" spans="1:37">
      <c r="A66" s="52"/>
      <c r="B66" s="53"/>
      <c r="C66" s="56"/>
      <c r="D66" s="57"/>
      <c r="F66" s="56"/>
      <c r="H66" s="650" t="s">
        <v>554</v>
      </c>
      <c r="J66" s="909">
        <f>+J61</f>
        <v>-623</v>
      </c>
      <c r="K66" s="446"/>
      <c r="L66" s="446"/>
      <c r="M66" s="446"/>
      <c r="N66" s="446"/>
      <c r="O66" s="440"/>
      <c r="P66" s="440"/>
      <c r="Q66" s="440"/>
      <c r="R66" s="440"/>
      <c r="S66" s="440"/>
      <c r="T66" s="440"/>
      <c r="U66" s="440"/>
      <c r="V66" s="440"/>
      <c r="W66" s="440"/>
      <c r="X66" s="440"/>
      <c r="Y66" s="440"/>
      <c r="Z66" s="440"/>
      <c r="AA66" s="440"/>
      <c r="AB66" s="440"/>
      <c r="AC66" s="440"/>
      <c r="AD66" s="440"/>
      <c r="AE66" s="636"/>
      <c r="AF66" s="440"/>
      <c r="AG66" s="440"/>
      <c r="AH66" s="440"/>
      <c r="AI66" s="440"/>
      <c r="AJ66" s="440"/>
      <c r="AK66" s="440"/>
    </row>
    <row r="67" spans="1:37">
      <c r="A67" s="52"/>
      <c r="B67" s="53"/>
      <c r="C67" s="56"/>
      <c r="D67" s="57"/>
      <c r="F67" s="56"/>
      <c r="G67" s="57"/>
      <c r="H67" s="650" t="s">
        <v>555</v>
      </c>
      <c r="J67" s="910">
        <f>-H61+I61</f>
        <v>-1631</v>
      </c>
      <c r="K67" s="446"/>
      <c r="L67" s="446"/>
      <c r="M67" s="446"/>
      <c r="N67" s="446"/>
      <c r="O67" s="440"/>
      <c r="P67" s="440"/>
      <c r="Q67" s="440"/>
      <c r="R67" s="440"/>
      <c r="S67" s="440"/>
      <c r="T67" s="440"/>
      <c r="U67" s="440"/>
      <c r="V67" s="440"/>
      <c r="W67" s="440"/>
      <c r="X67" s="440"/>
      <c r="Y67" s="440"/>
      <c r="Z67" s="440"/>
      <c r="AA67" s="440"/>
      <c r="AB67" s="440"/>
      <c r="AC67" s="440"/>
      <c r="AD67" s="440"/>
      <c r="AE67" s="636"/>
      <c r="AF67" s="440"/>
      <c r="AG67" s="440"/>
      <c r="AH67" s="440"/>
      <c r="AI67" s="440"/>
      <c r="AJ67" s="440"/>
      <c r="AK67" s="440"/>
    </row>
    <row r="68" spans="1:37" ht="13.5" thickBot="1">
      <c r="A68" s="52"/>
      <c r="B68" s="53"/>
      <c r="F68" s="56"/>
      <c r="G68" s="57"/>
      <c r="H68" s="47"/>
      <c r="I68" s="651"/>
      <c r="J68" s="911">
        <f>SUM(J65:J67)</f>
        <v>2143</v>
      </c>
      <c r="K68" s="446"/>
      <c r="L68" s="446"/>
      <c r="M68" s="162"/>
      <c r="N68" s="446"/>
      <c r="O68" s="440"/>
      <c r="P68" s="440"/>
      <c r="Q68" s="440"/>
      <c r="R68" s="440"/>
      <c r="S68" s="440"/>
      <c r="T68" s="440"/>
      <c r="U68" s="440"/>
      <c r="V68" s="440"/>
      <c r="W68" s="440"/>
      <c r="X68" s="440"/>
      <c r="Y68" s="440"/>
      <c r="Z68" s="440"/>
      <c r="AA68" s="440"/>
      <c r="AB68" s="440"/>
      <c r="AC68" s="440"/>
      <c r="AD68" s="440"/>
      <c r="AE68" s="636"/>
      <c r="AF68" s="440"/>
      <c r="AG68" s="440"/>
      <c r="AH68" s="440"/>
      <c r="AI68" s="440"/>
      <c r="AJ68" s="440"/>
      <c r="AK68" s="440"/>
    </row>
    <row r="69" spans="1:37" ht="13.5" thickTop="1">
      <c r="A69" s="37"/>
      <c r="C69" s="56"/>
      <c r="D69" s="36" t="s">
        <v>569</v>
      </c>
      <c r="F69" s="495">
        <f>F35+SUM(F39:F49)</f>
        <v>22463.091843018403</v>
      </c>
      <c r="G69" s="495">
        <f>+G35+G47+G48</f>
        <v>279395</v>
      </c>
      <c r="H69" s="47"/>
      <c r="I69" s="495">
        <f>I35+SUM(I39:I49)</f>
        <v>-3337</v>
      </c>
      <c r="J69" s="440"/>
      <c r="K69" s="446"/>
      <c r="L69" s="446"/>
      <c r="M69" s="162"/>
      <c r="N69" s="446"/>
      <c r="O69" s="440"/>
      <c r="P69" s="440"/>
      <c r="Q69" s="440"/>
      <c r="R69" s="440"/>
      <c r="S69" s="440"/>
      <c r="T69" s="440"/>
      <c r="U69" s="440"/>
      <c r="V69" s="440"/>
      <c r="W69" s="440"/>
      <c r="X69" s="440"/>
      <c r="Y69" s="440"/>
      <c r="Z69" s="440"/>
      <c r="AA69" s="440"/>
      <c r="AB69" s="440"/>
      <c r="AC69" s="440"/>
      <c r="AD69" s="440"/>
      <c r="AE69" s="636"/>
      <c r="AF69" s="440"/>
      <c r="AG69" s="440"/>
      <c r="AH69" s="440"/>
      <c r="AI69" s="440"/>
      <c r="AJ69" s="440"/>
      <c r="AK69" s="440"/>
    </row>
    <row r="70" spans="1:37">
      <c r="A70" s="37"/>
      <c r="C70" s="56"/>
      <c r="D70" s="36" t="s">
        <v>573</v>
      </c>
      <c r="F70" s="778">
        <f>+'ADJ DETAIL INPUT'!AK58</f>
        <v>22463.091843018403</v>
      </c>
      <c r="G70" s="778">
        <f>+'ADJ DETAIL INPUT'!AK81</f>
        <v>279395</v>
      </c>
      <c r="H70" s="47"/>
      <c r="I70" s="778">
        <f>+'ADJ DETAIL INPUT'!AS83</f>
        <v>-3334.2690971146976</v>
      </c>
      <c r="J70" s="440"/>
      <c r="K70" s="446"/>
      <c r="L70" s="446"/>
      <c r="M70" s="446"/>
      <c r="N70" s="446"/>
      <c r="O70" s="440"/>
      <c r="P70" s="440"/>
      <c r="Q70" s="440"/>
      <c r="R70" s="440"/>
      <c r="S70" s="440"/>
      <c r="T70" s="440"/>
      <c r="U70" s="440"/>
      <c r="V70" s="440"/>
      <c r="W70" s="440"/>
      <c r="X70" s="440"/>
      <c r="Y70" s="440"/>
      <c r="Z70" s="440"/>
      <c r="AA70" s="440"/>
      <c r="AB70" s="440"/>
      <c r="AC70" s="440"/>
      <c r="AD70" s="440"/>
      <c r="AE70" s="636"/>
      <c r="AF70" s="440"/>
      <c r="AG70" s="440"/>
      <c r="AH70" s="440"/>
      <c r="AI70" s="440"/>
      <c r="AJ70" s="440"/>
      <c r="AK70" s="440"/>
    </row>
    <row r="71" spans="1:37">
      <c r="A71" s="37"/>
      <c r="C71" s="56"/>
      <c r="D71" s="492" t="s">
        <v>567</v>
      </c>
      <c r="F71" s="752" t="s">
        <v>568</v>
      </c>
      <c r="G71" s="752" t="s">
        <v>566</v>
      </c>
      <c r="H71" s="47"/>
      <c r="I71" s="440"/>
      <c r="J71" s="440"/>
      <c r="K71" s="160"/>
      <c r="L71" s="446"/>
      <c r="M71" s="446"/>
      <c r="N71" s="446"/>
      <c r="O71" s="440"/>
      <c r="P71" s="440"/>
      <c r="Q71" s="440"/>
      <c r="R71" s="440"/>
      <c r="S71" s="440"/>
      <c r="T71" s="440"/>
      <c r="U71" s="440"/>
      <c r="V71" s="440"/>
      <c r="W71" s="440"/>
      <c r="X71" s="440"/>
      <c r="Y71" s="440"/>
      <c r="Z71" s="440"/>
      <c r="AA71" s="440"/>
      <c r="AB71" s="440"/>
      <c r="AC71" s="440"/>
      <c r="AD71" s="440"/>
      <c r="AE71" s="636"/>
      <c r="AF71" s="440"/>
      <c r="AG71" s="440"/>
      <c r="AH71" s="440"/>
      <c r="AI71" s="440"/>
      <c r="AJ71" s="440"/>
      <c r="AK71" s="440"/>
    </row>
    <row r="72" spans="1:37">
      <c r="A72" s="37"/>
      <c r="H72" s="47"/>
      <c r="I72" s="440"/>
      <c r="J72" s="440"/>
      <c r="K72" s="446"/>
      <c r="L72" s="446"/>
      <c r="M72" s="446"/>
      <c r="N72" s="446"/>
      <c r="O72" s="440"/>
      <c r="P72" s="440"/>
      <c r="Q72" s="440"/>
      <c r="R72" s="440"/>
      <c r="S72" s="440"/>
      <c r="T72" s="440"/>
      <c r="U72" s="440"/>
      <c r="V72" s="440"/>
      <c r="W72" s="440"/>
      <c r="X72" s="440"/>
      <c r="Y72" s="440"/>
      <c r="Z72" s="440"/>
      <c r="AA72" s="440"/>
      <c r="AB72" s="440"/>
      <c r="AC72" s="440"/>
      <c r="AD72" s="440"/>
      <c r="AE72" s="636"/>
      <c r="AF72" s="440"/>
      <c r="AG72" s="440"/>
      <c r="AH72" s="440"/>
      <c r="AI72" s="440"/>
      <c r="AJ72" s="440"/>
      <c r="AK72" s="440"/>
    </row>
    <row r="73" spans="1:37">
      <c r="A73" s="37"/>
      <c r="H73" s="47"/>
      <c r="I73" s="440"/>
      <c r="K73" s="446"/>
      <c r="L73" s="446"/>
      <c r="M73" s="446"/>
      <c r="N73" s="440"/>
      <c r="O73" s="440"/>
      <c r="P73" s="440"/>
      <c r="Q73" s="440"/>
      <c r="R73" s="440"/>
      <c r="S73" s="440"/>
      <c r="T73" s="440"/>
      <c r="U73" s="440"/>
      <c r="V73" s="440"/>
      <c r="W73" s="440"/>
      <c r="X73" s="440"/>
      <c r="Y73" s="440"/>
      <c r="Z73" s="440"/>
      <c r="AA73" s="440"/>
      <c r="AB73" s="440"/>
      <c r="AC73" s="440"/>
      <c r="AD73" s="440"/>
      <c r="AE73" s="636"/>
      <c r="AF73" s="440"/>
      <c r="AG73" s="440"/>
      <c r="AH73" s="440"/>
      <c r="AI73" s="440"/>
      <c r="AJ73" s="440"/>
      <c r="AK73" s="440"/>
    </row>
    <row r="74" spans="1:37">
      <c r="J74" s="48"/>
      <c r="K74" s="446"/>
      <c r="L74" s="446"/>
      <c r="M74" s="446"/>
      <c r="N74" s="440"/>
      <c r="O74" s="440"/>
      <c r="P74" s="440"/>
      <c r="Q74" s="440"/>
      <c r="R74" s="440"/>
      <c r="S74" s="440"/>
      <c r="T74" s="440"/>
      <c r="U74" s="440"/>
      <c r="V74" s="440"/>
      <c r="W74" s="440"/>
      <c r="X74" s="440"/>
      <c r="Y74" s="440"/>
      <c r="Z74" s="440"/>
      <c r="AA74" s="440"/>
      <c r="AB74" s="440"/>
      <c r="AC74" s="440"/>
      <c r="AD74" s="440"/>
      <c r="AE74" s="636"/>
      <c r="AF74" s="440"/>
      <c r="AG74" s="440"/>
      <c r="AH74" s="440"/>
      <c r="AI74" s="440"/>
      <c r="AJ74" s="440"/>
      <c r="AK74" s="440"/>
    </row>
    <row r="75" spans="1:37">
      <c r="K75" s="446"/>
      <c r="L75" s="446"/>
      <c r="M75" s="446"/>
      <c r="N75" s="440"/>
      <c r="O75" s="440"/>
      <c r="P75" s="440"/>
      <c r="Q75" s="440"/>
      <c r="R75" s="440"/>
      <c r="S75" s="440"/>
      <c r="T75" s="440"/>
      <c r="U75" s="440"/>
      <c r="V75" s="440"/>
      <c r="W75" s="440"/>
      <c r="X75" s="440"/>
      <c r="Y75" s="440"/>
      <c r="Z75" s="440"/>
      <c r="AA75" s="440"/>
      <c r="AB75" s="440"/>
      <c r="AC75" s="440"/>
      <c r="AD75" s="440"/>
      <c r="AE75" s="636"/>
      <c r="AF75" s="440"/>
      <c r="AG75" s="440"/>
      <c r="AH75" s="440"/>
      <c r="AI75" s="440"/>
      <c r="AJ75" s="440"/>
      <c r="AK75" s="440"/>
    </row>
    <row r="76" spans="1:37">
      <c r="K76" s="446"/>
      <c r="L76" s="446"/>
      <c r="M76" s="446"/>
      <c r="N76" s="440"/>
      <c r="O76" s="440"/>
      <c r="P76" s="440"/>
      <c r="Q76" s="440"/>
      <c r="R76" s="440"/>
      <c r="S76" s="440"/>
      <c r="T76" s="440"/>
      <c r="U76" s="440"/>
      <c r="V76" s="440"/>
      <c r="W76" s="440"/>
      <c r="X76" s="440"/>
      <c r="Y76" s="440"/>
      <c r="Z76" s="440"/>
      <c r="AA76" s="440"/>
      <c r="AB76" s="440"/>
      <c r="AC76" s="440"/>
      <c r="AD76" s="440"/>
      <c r="AE76" s="636"/>
      <c r="AF76" s="440"/>
      <c r="AG76" s="440"/>
      <c r="AH76" s="440"/>
      <c r="AI76" s="440"/>
      <c r="AJ76" s="440"/>
      <c r="AK76" s="440"/>
    </row>
    <row r="77" spans="1:37">
      <c r="K77" s="446"/>
      <c r="L77" s="446"/>
      <c r="M77" s="446"/>
      <c r="N77" s="440"/>
      <c r="O77" s="440"/>
      <c r="P77" s="440"/>
      <c r="Q77" s="440"/>
      <c r="R77" s="440"/>
      <c r="S77" s="440"/>
      <c r="T77" s="440"/>
      <c r="U77" s="440"/>
      <c r="V77" s="440"/>
      <c r="W77" s="440"/>
      <c r="X77" s="440"/>
      <c r="Y77" s="440"/>
      <c r="Z77" s="440"/>
      <c r="AA77" s="440"/>
      <c r="AB77" s="440"/>
      <c r="AC77" s="440"/>
      <c r="AD77" s="440"/>
      <c r="AE77" s="636"/>
      <c r="AF77" s="440"/>
      <c r="AG77" s="440"/>
      <c r="AH77" s="440"/>
      <c r="AI77" s="440"/>
      <c r="AJ77" s="440"/>
      <c r="AK77" s="440"/>
    </row>
    <row r="78" spans="1:37">
      <c r="K78" s="446"/>
      <c r="L78" s="446"/>
      <c r="M78" s="446"/>
      <c r="N78" s="440"/>
      <c r="O78" s="440"/>
      <c r="P78" s="440"/>
      <c r="Q78" s="440"/>
      <c r="R78" s="440"/>
      <c r="S78" s="440"/>
      <c r="T78" s="440"/>
      <c r="U78" s="440"/>
      <c r="V78" s="440"/>
      <c r="W78" s="440"/>
      <c r="X78" s="440"/>
      <c r="Y78" s="440"/>
      <c r="Z78" s="440"/>
      <c r="AA78" s="440"/>
      <c r="AB78" s="440"/>
      <c r="AC78" s="440"/>
      <c r="AD78" s="440"/>
      <c r="AE78" s="636"/>
      <c r="AF78" s="440"/>
      <c r="AG78" s="440"/>
      <c r="AH78" s="440"/>
      <c r="AI78" s="440"/>
      <c r="AJ78" s="440"/>
      <c r="AK78" s="440"/>
    </row>
    <row r="79" spans="1:37">
      <c r="K79" s="446"/>
      <c r="L79" s="446"/>
      <c r="M79" s="446"/>
      <c r="N79" s="440"/>
      <c r="O79" s="440"/>
      <c r="P79" s="440"/>
      <c r="Q79" s="440"/>
      <c r="R79" s="440"/>
      <c r="S79" s="440"/>
      <c r="T79" s="440"/>
      <c r="U79" s="440"/>
      <c r="V79" s="440"/>
      <c r="W79" s="440"/>
      <c r="X79" s="440"/>
      <c r="Y79" s="440"/>
      <c r="Z79" s="440"/>
      <c r="AA79" s="440"/>
      <c r="AB79" s="440"/>
      <c r="AC79" s="440"/>
      <c r="AD79" s="440"/>
      <c r="AE79" s="636"/>
      <c r="AF79" s="440"/>
      <c r="AG79" s="440"/>
      <c r="AH79" s="440"/>
      <c r="AI79" s="440"/>
      <c r="AJ79" s="440"/>
      <c r="AK79" s="440"/>
    </row>
    <row r="80" spans="1:37">
      <c r="K80" s="446"/>
      <c r="L80" s="446"/>
      <c r="M80" s="446"/>
      <c r="N80" s="440"/>
      <c r="O80" s="440"/>
      <c r="P80" s="440"/>
      <c r="Q80" s="440"/>
      <c r="R80" s="440"/>
      <c r="S80" s="440"/>
      <c r="T80" s="440"/>
      <c r="U80" s="440"/>
      <c r="V80" s="440"/>
      <c r="W80" s="440"/>
      <c r="X80" s="440"/>
      <c r="Y80" s="440"/>
      <c r="Z80" s="440"/>
      <c r="AA80" s="440"/>
      <c r="AB80" s="440"/>
      <c r="AC80" s="440"/>
      <c r="AD80" s="440"/>
      <c r="AE80" s="636"/>
      <c r="AF80" s="440"/>
      <c r="AG80" s="440"/>
      <c r="AH80" s="440"/>
      <c r="AI80" s="440"/>
      <c r="AJ80" s="440"/>
      <c r="AK80" s="440"/>
    </row>
    <row r="81" spans="1:37">
      <c r="K81" s="446"/>
      <c r="L81" s="446"/>
      <c r="M81" s="446"/>
      <c r="N81" s="440"/>
      <c r="O81" s="440"/>
      <c r="P81" s="440"/>
      <c r="Q81" s="440"/>
      <c r="R81" s="440"/>
      <c r="S81" s="440"/>
      <c r="T81" s="440"/>
      <c r="U81" s="440"/>
      <c r="V81" s="440"/>
      <c r="W81" s="440"/>
      <c r="X81" s="440"/>
      <c r="Y81" s="440"/>
      <c r="Z81" s="440"/>
      <c r="AA81" s="440"/>
      <c r="AB81" s="440"/>
      <c r="AC81" s="440"/>
      <c r="AD81" s="440"/>
      <c r="AE81" s="636"/>
      <c r="AF81" s="440"/>
      <c r="AG81" s="440"/>
      <c r="AH81" s="440"/>
      <c r="AI81" s="440"/>
      <c r="AJ81" s="440"/>
      <c r="AK81" s="440"/>
    </row>
    <row r="82" spans="1:37">
      <c r="K82" s="446"/>
      <c r="L82" s="446"/>
      <c r="M82" s="446"/>
      <c r="N82" s="440"/>
      <c r="O82" s="440"/>
      <c r="P82" s="440"/>
      <c r="Q82" s="440"/>
      <c r="R82" s="440"/>
      <c r="S82" s="440"/>
      <c r="T82" s="440"/>
      <c r="U82" s="440"/>
      <c r="V82" s="440"/>
      <c r="W82" s="440"/>
      <c r="X82" s="440"/>
      <c r="Y82" s="440"/>
      <c r="Z82" s="440"/>
      <c r="AA82" s="440"/>
      <c r="AB82" s="440"/>
      <c r="AC82" s="440"/>
      <c r="AD82" s="440"/>
      <c r="AE82" s="636"/>
      <c r="AF82" s="440"/>
      <c r="AG82" s="440"/>
      <c r="AH82" s="440"/>
      <c r="AI82" s="440"/>
      <c r="AJ82" s="440"/>
      <c r="AK82" s="440"/>
    </row>
    <row r="83" spans="1:37">
      <c r="A83" s="492" t="s">
        <v>596</v>
      </c>
      <c r="K83" s="446"/>
      <c r="L83" s="446"/>
      <c r="M83" s="446"/>
      <c r="N83" s="440"/>
      <c r="O83" s="440"/>
      <c r="P83" s="440"/>
      <c r="Q83" s="440"/>
      <c r="R83" s="440"/>
      <c r="S83" s="440"/>
      <c r="T83" s="440"/>
      <c r="U83" s="440"/>
      <c r="V83" s="440"/>
      <c r="W83" s="440"/>
      <c r="X83" s="440"/>
      <c r="Y83" s="440"/>
      <c r="Z83" s="440"/>
      <c r="AA83" s="440"/>
      <c r="AB83" s="440"/>
      <c r="AC83" s="440"/>
      <c r="AD83" s="440"/>
      <c r="AE83" s="636"/>
      <c r="AF83" s="440"/>
      <c r="AG83" s="440"/>
      <c r="AH83" s="440"/>
      <c r="AI83" s="440"/>
      <c r="AJ83" s="440"/>
      <c r="AK83" s="440"/>
    </row>
    <row r="84" spans="1:37">
      <c r="K84" s="446"/>
      <c r="L84" s="446"/>
      <c r="M84" s="446"/>
      <c r="N84" s="440"/>
      <c r="O84" s="440"/>
      <c r="P84" s="440"/>
      <c r="Q84" s="440"/>
      <c r="R84" s="440"/>
      <c r="S84" s="440"/>
      <c r="T84" s="440"/>
      <c r="U84" s="440"/>
      <c r="V84" s="440"/>
      <c r="W84" s="440"/>
      <c r="X84" s="440"/>
      <c r="Y84" s="440"/>
      <c r="Z84" s="440"/>
      <c r="AA84" s="440"/>
      <c r="AB84" s="440"/>
      <c r="AC84" s="440"/>
      <c r="AD84" s="440"/>
      <c r="AE84" s="636"/>
      <c r="AF84" s="440"/>
      <c r="AG84" s="440"/>
      <c r="AH84" s="440"/>
      <c r="AI84" s="440"/>
      <c r="AJ84" s="440"/>
      <c r="AK84" s="440"/>
    </row>
    <row r="85" spans="1:37">
      <c r="K85" s="446"/>
      <c r="L85" s="446"/>
      <c r="M85" s="446"/>
      <c r="N85" s="440"/>
      <c r="O85" s="440"/>
      <c r="P85" s="440"/>
      <c r="Q85" s="440"/>
      <c r="R85" s="440"/>
      <c r="S85" s="440"/>
      <c r="T85" s="440"/>
      <c r="U85" s="440"/>
      <c r="V85" s="440"/>
      <c r="W85" s="440"/>
      <c r="X85" s="440"/>
      <c r="Y85" s="440"/>
      <c r="Z85" s="440"/>
      <c r="AA85" s="440"/>
      <c r="AB85" s="440"/>
      <c r="AC85" s="440"/>
      <c r="AD85" s="440"/>
      <c r="AE85" s="636"/>
      <c r="AF85" s="440"/>
      <c r="AG85" s="440"/>
      <c r="AH85" s="440"/>
      <c r="AI85" s="440"/>
      <c r="AJ85" s="440"/>
      <c r="AK85" s="440"/>
    </row>
    <row r="86" spans="1:37">
      <c r="K86" s="446"/>
      <c r="L86" s="446"/>
      <c r="M86" s="446"/>
      <c r="N86" s="440"/>
      <c r="O86" s="440"/>
      <c r="P86" s="440"/>
      <c r="Q86" s="440"/>
      <c r="R86" s="440"/>
      <c r="S86" s="440"/>
      <c r="T86" s="440"/>
      <c r="U86" s="440"/>
      <c r="V86" s="440"/>
      <c r="W86" s="440"/>
      <c r="X86" s="440"/>
      <c r="Y86" s="440"/>
      <c r="Z86" s="440"/>
      <c r="AA86" s="440"/>
      <c r="AB86" s="440"/>
      <c r="AC86" s="440"/>
      <c r="AD86" s="440"/>
      <c r="AE86" s="636"/>
      <c r="AF86" s="440"/>
      <c r="AG86" s="440"/>
      <c r="AH86" s="440"/>
      <c r="AI86" s="440"/>
      <c r="AJ86" s="440"/>
      <c r="AK86" s="440"/>
    </row>
    <row r="87" spans="1:37">
      <c r="K87" s="446"/>
      <c r="L87" s="446"/>
      <c r="M87" s="446"/>
      <c r="N87" s="440"/>
      <c r="O87" s="440"/>
      <c r="P87" s="440"/>
      <c r="Q87" s="440"/>
      <c r="R87" s="440"/>
      <c r="S87" s="440"/>
      <c r="T87" s="440"/>
      <c r="U87" s="440"/>
      <c r="V87" s="440"/>
      <c r="W87" s="440"/>
      <c r="X87" s="440"/>
      <c r="Y87" s="440"/>
      <c r="Z87" s="440"/>
      <c r="AA87" s="440"/>
      <c r="AB87" s="440"/>
      <c r="AC87" s="440"/>
      <c r="AD87" s="440"/>
      <c r="AE87" s="636"/>
      <c r="AF87" s="440"/>
      <c r="AG87" s="440"/>
      <c r="AH87" s="440"/>
      <c r="AI87" s="440"/>
      <c r="AJ87" s="440"/>
      <c r="AK87" s="440"/>
    </row>
    <row r="88" spans="1:37">
      <c r="K88" s="446"/>
      <c r="L88" s="446"/>
      <c r="M88" s="446"/>
      <c r="N88" s="440"/>
      <c r="O88" s="440"/>
      <c r="P88" s="440"/>
      <c r="Q88" s="440"/>
      <c r="R88" s="440"/>
      <c r="S88" s="440"/>
      <c r="T88" s="440"/>
      <c r="U88" s="440"/>
      <c r="V88" s="440"/>
      <c r="W88" s="440"/>
      <c r="X88" s="440"/>
      <c r="Y88" s="440"/>
      <c r="Z88" s="440"/>
      <c r="AA88" s="440"/>
      <c r="AB88" s="440"/>
      <c r="AC88" s="440"/>
      <c r="AD88" s="440"/>
      <c r="AE88" s="636"/>
      <c r="AF88" s="440"/>
      <c r="AG88" s="440"/>
      <c r="AH88" s="440"/>
      <c r="AI88" s="440"/>
      <c r="AJ88" s="440"/>
      <c r="AK88" s="440"/>
    </row>
    <row r="89" spans="1:37">
      <c r="K89" s="446"/>
      <c r="L89" s="446"/>
      <c r="M89" s="446"/>
      <c r="N89" s="440"/>
      <c r="O89" s="440"/>
      <c r="P89" s="440"/>
      <c r="Q89" s="440"/>
      <c r="R89" s="440"/>
      <c r="S89" s="440"/>
      <c r="T89" s="440"/>
      <c r="U89" s="440"/>
      <c r="V89" s="440"/>
      <c r="W89" s="440"/>
      <c r="X89" s="440"/>
      <c r="Y89" s="440"/>
      <c r="Z89" s="440"/>
      <c r="AA89" s="440"/>
      <c r="AB89" s="440"/>
      <c r="AC89" s="440"/>
      <c r="AD89" s="440"/>
      <c r="AE89" s="636"/>
      <c r="AF89" s="440"/>
      <c r="AG89" s="440"/>
      <c r="AH89" s="440"/>
      <c r="AI89" s="440"/>
      <c r="AJ89" s="440"/>
      <c r="AK89" s="440"/>
    </row>
    <row r="90" spans="1:37">
      <c r="K90" s="446"/>
      <c r="L90" s="446"/>
      <c r="M90" s="446"/>
      <c r="N90" s="440"/>
      <c r="O90" s="440"/>
      <c r="P90" s="440"/>
      <c r="Q90" s="440"/>
      <c r="R90" s="440"/>
      <c r="S90" s="440"/>
      <c r="T90" s="440"/>
      <c r="U90" s="440"/>
      <c r="V90" s="440"/>
      <c r="W90" s="440"/>
      <c r="X90" s="440"/>
      <c r="Y90" s="440"/>
      <c r="Z90" s="440"/>
      <c r="AA90" s="440"/>
      <c r="AB90" s="440"/>
      <c r="AC90" s="440"/>
      <c r="AD90" s="440"/>
      <c r="AE90" s="636"/>
      <c r="AF90" s="440"/>
      <c r="AG90" s="440"/>
      <c r="AH90" s="440"/>
      <c r="AI90" s="440"/>
      <c r="AJ90" s="440"/>
      <c r="AK90" s="440"/>
    </row>
    <row r="91" spans="1:37">
      <c r="K91" s="446"/>
      <c r="L91" s="446"/>
      <c r="M91" s="446"/>
      <c r="N91" s="440"/>
      <c r="O91" s="440"/>
      <c r="P91" s="440"/>
      <c r="Q91" s="440"/>
      <c r="R91" s="440"/>
      <c r="S91" s="440"/>
      <c r="T91" s="440"/>
      <c r="U91" s="440"/>
      <c r="V91" s="440"/>
      <c r="W91" s="440"/>
      <c r="X91" s="440"/>
      <c r="Y91" s="440"/>
      <c r="Z91" s="440"/>
      <c r="AA91" s="440"/>
      <c r="AB91" s="440"/>
      <c r="AC91" s="440"/>
      <c r="AD91" s="440"/>
      <c r="AE91" s="636"/>
      <c r="AF91" s="440"/>
      <c r="AG91" s="440"/>
      <c r="AH91" s="440"/>
      <c r="AI91" s="440"/>
      <c r="AJ91" s="440"/>
      <c r="AK91" s="440"/>
    </row>
    <row r="92" spans="1:37">
      <c r="K92" s="446"/>
      <c r="L92" s="446"/>
      <c r="M92" s="446"/>
      <c r="N92" s="440"/>
      <c r="O92" s="440"/>
      <c r="P92" s="440"/>
      <c r="Q92" s="440"/>
      <c r="R92" s="440"/>
      <c r="S92" s="440"/>
      <c r="T92" s="440"/>
      <c r="U92" s="440"/>
      <c r="V92" s="440"/>
      <c r="W92" s="440"/>
      <c r="X92" s="440"/>
      <c r="Y92" s="440"/>
      <c r="Z92" s="440"/>
      <c r="AA92" s="440"/>
      <c r="AB92" s="440"/>
      <c r="AC92" s="440"/>
      <c r="AD92" s="440"/>
      <c r="AE92" s="636"/>
      <c r="AF92" s="440"/>
      <c r="AG92" s="440"/>
      <c r="AH92" s="440"/>
      <c r="AI92" s="440"/>
      <c r="AJ92" s="440"/>
      <c r="AK92" s="440"/>
    </row>
    <row r="93" spans="1:37">
      <c r="K93" s="446"/>
      <c r="L93" s="446"/>
      <c r="M93" s="446"/>
      <c r="N93" s="440"/>
      <c r="O93" s="440"/>
      <c r="P93" s="440"/>
      <c r="Q93" s="440"/>
      <c r="R93" s="440"/>
      <c r="S93" s="440"/>
      <c r="T93" s="440"/>
      <c r="U93" s="440"/>
      <c r="V93" s="440"/>
      <c r="W93" s="440"/>
      <c r="X93" s="440"/>
      <c r="Y93" s="440"/>
      <c r="Z93" s="440"/>
      <c r="AA93" s="440"/>
      <c r="AB93" s="440"/>
      <c r="AC93" s="440"/>
      <c r="AD93" s="440"/>
      <c r="AE93" s="636"/>
      <c r="AF93" s="440"/>
      <c r="AG93" s="440"/>
      <c r="AH93" s="440"/>
      <c r="AI93" s="440"/>
      <c r="AJ93" s="440"/>
      <c r="AK93" s="440"/>
    </row>
    <row r="94" spans="1:37">
      <c r="K94" s="446"/>
      <c r="L94" s="446"/>
      <c r="M94" s="446"/>
      <c r="N94" s="440"/>
      <c r="O94" s="440"/>
      <c r="P94" s="440"/>
      <c r="Q94" s="440"/>
      <c r="R94" s="440"/>
      <c r="S94" s="440"/>
      <c r="T94" s="440"/>
      <c r="U94" s="440"/>
      <c r="V94" s="440"/>
      <c r="W94" s="440"/>
      <c r="X94" s="440"/>
      <c r="Y94" s="440"/>
      <c r="Z94" s="440"/>
      <c r="AA94" s="440"/>
      <c r="AB94" s="440"/>
      <c r="AC94" s="440"/>
      <c r="AD94" s="440"/>
      <c r="AE94" s="636"/>
      <c r="AF94" s="440"/>
      <c r="AG94" s="440"/>
      <c r="AH94" s="440"/>
      <c r="AI94" s="440"/>
      <c r="AJ94" s="440"/>
      <c r="AK94" s="440"/>
    </row>
    <row r="95" spans="1:37">
      <c r="K95" s="446"/>
      <c r="L95" s="446"/>
      <c r="M95" s="446"/>
      <c r="N95" s="440"/>
      <c r="O95" s="440"/>
      <c r="P95" s="440"/>
      <c r="Q95" s="440"/>
      <c r="R95" s="440"/>
      <c r="S95" s="440"/>
      <c r="T95" s="440"/>
      <c r="U95" s="440"/>
      <c r="V95" s="440"/>
      <c r="W95" s="440"/>
      <c r="X95" s="440"/>
      <c r="Y95" s="440"/>
      <c r="Z95" s="440"/>
      <c r="AA95" s="440"/>
      <c r="AB95" s="440"/>
      <c r="AC95" s="440"/>
      <c r="AD95" s="440"/>
      <c r="AE95" s="636"/>
      <c r="AF95" s="440"/>
      <c r="AG95" s="440"/>
      <c r="AH95" s="440"/>
      <c r="AI95" s="440"/>
      <c r="AJ95" s="440"/>
      <c r="AK95" s="440"/>
    </row>
    <row r="96" spans="1:37">
      <c r="K96" s="446"/>
      <c r="L96" s="446"/>
      <c r="M96" s="446"/>
      <c r="N96" s="440"/>
      <c r="O96" s="440"/>
      <c r="P96" s="440"/>
      <c r="Q96" s="440"/>
      <c r="R96" s="440"/>
      <c r="S96" s="440"/>
      <c r="T96" s="440"/>
      <c r="U96" s="440"/>
      <c r="V96" s="440"/>
      <c r="W96" s="440"/>
      <c r="X96" s="440"/>
      <c r="Y96" s="440"/>
      <c r="Z96" s="440"/>
      <c r="AA96" s="440"/>
      <c r="AB96" s="440"/>
      <c r="AC96" s="440"/>
      <c r="AD96" s="440"/>
      <c r="AE96" s="636"/>
      <c r="AF96" s="440"/>
      <c r="AG96" s="440"/>
      <c r="AH96" s="440"/>
      <c r="AI96" s="440"/>
      <c r="AJ96" s="440"/>
      <c r="AK96" s="440"/>
    </row>
    <row r="97" spans="11:37">
      <c r="K97" s="446"/>
      <c r="L97" s="446"/>
      <c r="M97" s="446"/>
      <c r="N97" s="440"/>
      <c r="O97" s="440"/>
      <c r="P97" s="440"/>
      <c r="Q97" s="440"/>
      <c r="R97" s="440"/>
      <c r="S97" s="440"/>
      <c r="T97" s="440"/>
      <c r="U97" s="440"/>
      <c r="V97" s="440"/>
      <c r="W97" s="440"/>
      <c r="X97" s="440"/>
      <c r="Y97" s="440"/>
      <c r="Z97" s="440"/>
      <c r="AA97" s="440"/>
      <c r="AB97" s="440"/>
      <c r="AC97" s="440"/>
      <c r="AD97" s="440"/>
      <c r="AE97" s="636"/>
      <c r="AF97" s="440"/>
      <c r="AG97" s="440"/>
      <c r="AH97" s="440"/>
      <c r="AI97" s="440"/>
      <c r="AJ97" s="440"/>
      <c r="AK97" s="440"/>
    </row>
    <row r="98" spans="11:37">
      <c r="K98" s="446"/>
      <c r="L98" s="446"/>
      <c r="M98" s="446"/>
      <c r="N98" s="440"/>
      <c r="O98" s="440"/>
      <c r="P98" s="440"/>
      <c r="Q98" s="440"/>
      <c r="R98" s="440"/>
      <c r="S98" s="440"/>
      <c r="T98" s="440"/>
      <c r="U98" s="440"/>
      <c r="V98" s="440"/>
      <c r="W98" s="440"/>
      <c r="X98" s="440"/>
      <c r="Y98" s="440"/>
      <c r="Z98" s="440"/>
      <c r="AA98" s="440"/>
      <c r="AB98" s="440"/>
      <c r="AC98" s="440"/>
      <c r="AD98" s="440"/>
      <c r="AE98" s="636"/>
      <c r="AF98" s="440"/>
      <c r="AG98" s="440"/>
      <c r="AH98" s="440"/>
      <c r="AI98" s="440"/>
      <c r="AJ98" s="440"/>
      <c r="AK98" s="440"/>
    </row>
    <row r="99" spans="11:37">
      <c r="K99" s="446"/>
      <c r="L99" s="446"/>
      <c r="M99" s="446"/>
      <c r="N99" s="440"/>
      <c r="O99" s="440"/>
      <c r="P99" s="440"/>
      <c r="Q99" s="440"/>
      <c r="R99" s="440"/>
      <c r="S99" s="440"/>
      <c r="T99" s="440"/>
      <c r="U99" s="440"/>
      <c r="V99" s="440"/>
      <c r="W99" s="440"/>
      <c r="X99" s="440"/>
      <c r="Y99" s="440"/>
      <c r="Z99" s="440"/>
      <c r="AA99" s="440"/>
      <c r="AB99" s="440"/>
      <c r="AC99" s="440"/>
      <c r="AD99" s="440"/>
      <c r="AE99" s="636"/>
      <c r="AF99" s="440"/>
      <c r="AG99" s="440"/>
      <c r="AH99" s="440"/>
      <c r="AI99" s="440"/>
      <c r="AJ99" s="440"/>
      <c r="AK99" s="440"/>
    </row>
    <row r="100" spans="11:37">
      <c r="K100" s="446"/>
      <c r="L100" s="446"/>
      <c r="M100" s="446"/>
      <c r="N100" s="440"/>
      <c r="O100" s="440"/>
      <c r="P100" s="440"/>
      <c r="Q100" s="440"/>
      <c r="R100" s="440"/>
      <c r="S100" s="440"/>
      <c r="T100" s="440"/>
      <c r="U100" s="440"/>
      <c r="V100" s="440"/>
      <c r="W100" s="440"/>
      <c r="X100" s="440"/>
      <c r="Y100" s="440"/>
      <c r="Z100" s="440"/>
      <c r="AA100" s="440"/>
      <c r="AB100" s="440"/>
      <c r="AC100" s="440"/>
      <c r="AD100" s="440"/>
      <c r="AE100" s="636"/>
      <c r="AF100" s="440"/>
      <c r="AG100" s="440"/>
      <c r="AH100" s="440"/>
      <c r="AI100" s="440"/>
      <c r="AJ100" s="440"/>
      <c r="AK100" s="440"/>
    </row>
    <row r="101" spans="11:37">
      <c r="K101" s="446"/>
      <c r="L101" s="446"/>
      <c r="M101" s="446"/>
      <c r="N101" s="440"/>
      <c r="O101" s="440"/>
      <c r="P101" s="440"/>
      <c r="Q101" s="440"/>
      <c r="R101" s="440"/>
      <c r="S101" s="440"/>
      <c r="T101" s="440"/>
      <c r="U101" s="440"/>
      <c r="V101" s="440"/>
      <c r="W101" s="440"/>
      <c r="X101" s="440"/>
      <c r="Y101" s="440"/>
      <c r="Z101" s="440"/>
      <c r="AA101" s="440"/>
      <c r="AB101" s="440"/>
      <c r="AC101" s="440"/>
      <c r="AD101" s="440"/>
      <c r="AE101" s="636"/>
      <c r="AF101" s="440"/>
      <c r="AG101" s="440"/>
      <c r="AH101" s="440"/>
      <c r="AI101" s="440"/>
      <c r="AJ101" s="440"/>
      <c r="AK101" s="440"/>
    </row>
    <row r="102" spans="11:37">
      <c r="K102" s="446"/>
      <c r="L102" s="446"/>
      <c r="M102" s="446"/>
      <c r="N102" s="440"/>
      <c r="O102" s="440"/>
      <c r="P102" s="440"/>
      <c r="Q102" s="440"/>
      <c r="R102" s="440"/>
      <c r="S102" s="440"/>
      <c r="T102" s="440"/>
      <c r="U102" s="440"/>
      <c r="V102" s="440"/>
      <c r="W102" s="440"/>
      <c r="X102" s="440"/>
      <c r="Y102" s="440"/>
      <c r="Z102" s="440"/>
      <c r="AA102" s="440"/>
      <c r="AB102" s="440"/>
      <c r="AC102" s="440"/>
      <c r="AD102" s="440"/>
      <c r="AE102" s="636"/>
      <c r="AF102" s="440"/>
      <c r="AG102" s="440"/>
      <c r="AH102" s="440"/>
      <c r="AI102" s="440"/>
      <c r="AJ102" s="440"/>
      <c r="AK102" s="440"/>
    </row>
    <row r="103" spans="11:37">
      <c r="K103" s="446"/>
      <c r="L103" s="446"/>
      <c r="M103" s="446"/>
      <c r="N103" s="440"/>
      <c r="O103" s="440"/>
      <c r="P103" s="440"/>
      <c r="Q103" s="440"/>
      <c r="R103" s="440"/>
      <c r="S103" s="440"/>
      <c r="T103" s="440"/>
      <c r="U103" s="440"/>
      <c r="V103" s="440"/>
      <c r="W103" s="440"/>
      <c r="X103" s="440"/>
      <c r="Y103" s="440"/>
      <c r="Z103" s="440"/>
      <c r="AA103" s="440"/>
      <c r="AB103" s="440"/>
      <c r="AC103" s="440"/>
      <c r="AD103" s="440"/>
      <c r="AE103" s="636"/>
      <c r="AF103" s="440"/>
      <c r="AG103" s="440"/>
      <c r="AH103" s="440"/>
      <c r="AI103" s="440"/>
      <c r="AJ103" s="440"/>
      <c r="AK103" s="440"/>
    </row>
    <row r="104" spans="11:37">
      <c r="K104" s="446"/>
      <c r="L104" s="446"/>
      <c r="M104" s="446"/>
      <c r="N104" s="440"/>
      <c r="O104" s="440"/>
      <c r="P104" s="440"/>
      <c r="Q104" s="440"/>
      <c r="R104" s="440"/>
      <c r="S104" s="440"/>
      <c r="T104" s="440"/>
      <c r="U104" s="440"/>
      <c r="V104" s="440"/>
      <c r="W104" s="440"/>
      <c r="X104" s="440"/>
      <c r="Y104" s="440"/>
      <c r="Z104" s="440"/>
      <c r="AA104" s="440"/>
      <c r="AB104" s="440"/>
      <c r="AC104" s="440"/>
      <c r="AD104" s="440"/>
      <c r="AE104" s="636"/>
      <c r="AF104" s="440"/>
      <c r="AG104" s="440"/>
      <c r="AH104" s="440"/>
      <c r="AI104" s="440"/>
      <c r="AJ104" s="440"/>
      <c r="AK104" s="440"/>
    </row>
    <row r="105" spans="11:37">
      <c r="K105" s="446"/>
      <c r="L105" s="446"/>
      <c r="M105" s="446"/>
      <c r="N105" s="440"/>
      <c r="O105" s="440"/>
      <c r="P105" s="440"/>
      <c r="Q105" s="440"/>
      <c r="R105" s="440"/>
      <c r="S105" s="440"/>
      <c r="T105" s="440"/>
      <c r="U105" s="440"/>
      <c r="V105" s="440"/>
      <c r="W105" s="440"/>
      <c r="X105" s="440"/>
      <c r="Y105" s="440"/>
      <c r="Z105" s="440"/>
      <c r="AA105" s="440"/>
      <c r="AB105" s="440"/>
      <c r="AC105" s="440"/>
      <c r="AD105" s="440"/>
      <c r="AE105" s="636"/>
      <c r="AF105" s="440"/>
      <c r="AG105" s="440"/>
      <c r="AH105" s="440"/>
      <c r="AI105" s="440"/>
      <c r="AJ105" s="440"/>
      <c r="AK105" s="440"/>
    </row>
    <row r="106" spans="11:37">
      <c r="K106" s="446"/>
      <c r="L106" s="446"/>
      <c r="M106" s="446"/>
      <c r="N106" s="440"/>
      <c r="O106" s="440"/>
      <c r="P106" s="440"/>
      <c r="Q106" s="440"/>
      <c r="R106" s="440"/>
      <c r="S106" s="440"/>
      <c r="T106" s="440"/>
      <c r="U106" s="440"/>
      <c r="V106" s="440"/>
      <c r="W106" s="440"/>
      <c r="X106" s="440"/>
      <c r="Y106" s="440"/>
      <c r="Z106" s="440"/>
      <c r="AA106" s="440"/>
      <c r="AB106" s="440"/>
      <c r="AC106" s="440"/>
      <c r="AD106" s="440"/>
      <c r="AE106" s="636"/>
      <c r="AF106" s="440"/>
      <c r="AG106" s="440"/>
      <c r="AH106" s="440"/>
      <c r="AI106" s="440"/>
      <c r="AJ106" s="440"/>
      <c r="AK106" s="440"/>
    </row>
    <row r="107" spans="11:37">
      <c r="K107" s="446"/>
      <c r="L107" s="446"/>
      <c r="M107" s="446"/>
      <c r="N107" s="440"/>
      <c r="O107" s="440"/>
      <c r="P107" s="440"/>
      <c r="Q107" s="440"/>
      <c r="R107" s="440"/>
      <c r="S107" s="440"/>
      <c r="T107" s="440"/>
      <c r="U107" s="440"/>
      <c r="V107" s="440"/>
      <c r="W107" s="440"/>
      <c r="X107" s="440"/>
      <c r="Y107" s="440"/>
      <c r="Z107" s="440"/>
      <c r="AA107" s="440"/>
      <c r="AB107" s="440"/>
      <c r="AC107" s="440"/>
      <c r="AD107" s="440"/>
      <c r="AE107" s="636"/>
      <c r="AF107" s="440"/>
      <c r="AG107" s="440"/>
      <c r="AH107" s="440"/>
      <c r="AI107" s="440"/>
      <c r="AJ107" s="440"/>
      <c r="AK107" s="440"/>
    </row>
    <row r="108" spans="11:37">
      <c r="K108" s="446"/>
      <c r="L108" s="446"/>
      <c r="M108" s="446"/>
      <c r="N108" s="440"/>
      <c r="O108" s="440"/>
      <c r="P108" s="440"/>
      <c r="Q108" s="440"/>
      <c r="R108" s="440"/>
      <c r="S108" s="440"/>
      <c r="T108" s="440"/>
      <c r="U108" s="440"/>
      <c r="V108" s="440"/>
      <c r="W108" s="440"/>
      <c r="X108" s="440"/>
      <c r="Y108" s="440"/>
      <c r="Z108" s="440"/>
      <c r="AA108" s="440"/>
      <c r="AB108" s="440"/>
      <c r="AC108" s="440"/>
      <c r="AD108" s="440"/>
      <c r="AE108" s="636"/>
      <c r="AF108" s="440"/>
      <c r="AG108" s="440"/>
      <c r="AH108" s="440"/>
      <c r="AI108" s="440"/>
      <c r="AJ108" s="440"/>
      <c r="AK108" s="440"/>
    </row>
    <row r="109" spans="11:37">
      <c r="K109" s="446"/>
      <c r="L109" s="446"/>
      <c r="M109" s="446"/>
      <c r="N109" s="440"/>
      <c r="O109" s="440"/>
      <c r="P109" s="440"/>
      <c r="Q109" s="440"/>
      <c r="R109" s="440"/>
      <c r="S109" s="440"/>
      <c r="T109" s="440"/>
      <c r="U109" s="440"/>
      <c r="V109" s="440"/>
      <c r="W109" s="440"/>
      <c r="X109" s="440"/>
      <c r="Y109" s="440"/>
      <c r="Z109" s="440"/>
      <c r="AA109" s="440"/>
      <c r="AB109" s="440"/>
      <c r="AC109" s="440"/>
      <c r="AD109" s="440"/>
      <c r="AE109" s="636"/>
      <c r="AF109" s="440"/>
      <c r="AG109" s="440"/>
      <c r="AH109" s="440"/>
      <c r="AI109" s="440"/>
      <c r="AJ109" s="440"/>
      <c r="AK109" s="440"/>
    </row>
    <row r="110" spans="11:37">
      <c r="K110" s="446"/>
      <c r="L110" s="446"/>
      <c r="M110" s="446"/>
      <c r="N110" s="440"/>
      <c r="O110" s="440"/>
      <c r="P110" s="440"/>
      <c r="Q110" s="440"/>
      <c r="R110" s="440"/>
      <c r="S110" s="440"/>
      <c r="T110" s="440"/>
      <c r="U110" s="440"/>
      <c r="V110" s="440"/>
      <c r="W110" s="440"/>
      <c r="X110" s="440"/>
      <c r="Y110" s="440"/>
      <c r="Z110" s="440"/>
      <c r="AA110" s="440"/>
      <c r="AB110" s="440"/>
      <c r="AC110" s="440"/>
      <c r="AD110" s="440"/>
      <c r="AE110" s="636"/>
      <c r="AF110" s="440"/>
      <c r="AG110" s="440"/>
      <c r="AH110" s="440"/>
      <c r="AI110" s="440"/>
      <c r="AJ110" s="440"/>
      <c r="AK110" s="440"/>
    </row>
    <row r="111" spans="11:37">
      <c r="K111" s="446"/>
      <c r="L111" s="446"/>
      <c r="M111" s="446"/>
      <c r="N111" s="440"/>
      <c r="O111" s="440"/>
      <c r="P111" s="440"/>
      <c r="Q111" s="440"/>
      <c r="R111" s="440"/>
      <c r="S111" s="440"/>
      <c r="T111" s="440"/>
      <c r="U111" s="440"/>
      <c r="V111" s="440"/>
      <c r="W111" s="440"/>
      <c r="X111" s="440"/>
      <c r="Y111" s="440"/>
      <c r="Z111" s="440"/>
      <c r="AA111" s="440"/>
      <c r="AB111" s="440"/>
      <c r="AC111" s="440"/>
      <c r="AD111" s="440"/>
      <c r="AE111" s="636"/>
      <c r="AF111" s="440"/>
      <c r="AG111" s="440"/>
      <c r="AH111" s="440"/>
      <c r="AI111" s="440"/>
      <c r="AJ111" s="440"/>
      <c r="AK111" s="440"/>
    </row>
    <row r="112" spans="11:37">
      <c r="K112" s="446"/>
      <c r="L112" s="446"/>
      <c r="M112" s="446"/>
      <c r="N112" s="440"/>
      <c r="O112" s="440"/>
      <c r="P112" s="440"/>
      <c r="Q112" s="440"/>
      <c r="R112" s="440"/>
      <c r="S112" s="440"/>
      <c r="T112" s="440"/>
      <c r="U112" s="440"/>
      <c r="V112" s="440"/>
      <c r="W112" s="440"/>
      <c r="X112" s="440"/>
      <c r="Y112" s="440"/>
      <c r="Z112" s="440"/>
      <c r="AA112" s="440"/>
      <c r="AB112" s="440"/>
      <c r="AC112" s="440"/>
      <c r="AD112" s="440"/>
      <c r="AE112" s="636"/>
      <c r="AF112" s="440"/>
      <c r="AG112" s="440"/>
      <c r="AH112" s="440"/>
      <c r="AI112" s="440"/>
      <c r="AJ112" s="440"/>
      <c r="AK112" s="440"/>
    </row>
    <row r="113" spans="11:37">
      <c r="K113" s="446"/>
      <c r="L113" s="446"/>
      <c r="M113" s="446"/>
      <c r="N113" s="440"/>
      <c r="O113" s="440"/>
      <c r="P113" s="440"/>
      <c r="Q113" s="440"/>
      <c r="R113" s="440"/>
      <c r="S113" s="440"/>
      <c r="T113" s="440"/>
      <c r="U113" s="440"/>
      <c r="V113" s="440"/>
      <c r="W113" s="440"/>
      <c r="X113" s="440"/>
      <c r="Y113" s="440"/>
      <c r="Z113" s="440"/>
      <c r="AA113" s="440"/>
      <c r="AB113" s="440"/>
      <c r="AC113" s="440"/>
      <c r="AD113" s="440"/>
      <c r="AE113" s="636"/>
      <c r="AF113" s="440"/>
      <c r="AG113" s="440"/>
      <c r="AH113" s="440"/>
      <c r="AI113" s="440"/>
      <c r="AJ113" s="440"/>
      <c r="AK113" s="440"/>
    </row>
    <row r="114" spans="11:37">
      <c r="K114" s="446"/>
      <c r="L114" s="446"/>
      <c r="M114" s="446"/>
      <c r="N114" s="440"/>
      <c r="O114" s="440"/>
      <c r="P114" s="440"/>
      <c r="Q114" s="440"/>
      <c r="R114" s="440"/>
      <c r="S114" s="440"/>
      <c r="T114" s="440"/>
      <c r="U114" s="440"/>
      <c r="V114" s="440"/>
      <c r="W114" s="440"/>
      <c r="X114" s="440"/>
      <c r="Y114" s="440"/>
      <c r="Z114" s="440"/>
      <c r="AA114" s="440"/>
      <c r="AB114" s="440"/>
      <c r="AC114" s="440"/>
      <c r="AD114" s="440"/>
      <c r="AE114" s="636"/>
      <c r="AF114" s="440"/>
      <c r="AG114" s="440"/>
      <c r="AH114" s="440"/>
      <c r="AI114" s="440"/>
      <c r="AJ114" s="440"/>
      <c r="AK114" s="440"/>
    </row>
    <row r="115" spans="11:37">
      <c r="K115" s="446"/>
      <c r="L115" s="446"/>
      <c r="M115" s="446"/>
      <c r="N115" s="440"/>
      <c r="O115" s="440"/>
      <c r="P115" s="440"/>
      <c r="Q115" s="440"/>
      <c r="R115" s="440"/>
      <c r="S115" s="440"/>
      <c r="T115" s="440"/>
      <c r="U115" s="440"/>
      <c r="V115" s="440"/>
      <c r="W115" s="440"/>
      <c r="X115" s="440"/>
      <c r="Y115" s="440"/>
      <c r="Z115" s="440"/>
      <c r="AA115" s="440"/>
      <c r="AB115" s="440"/>
      <c r="AC115" s="440"/>
      <c r="AD115" s="440"/>
      <c r="AE115" s="636"/>
      <c r="AF115" s="440"/>
      <c r="AG115" s="440"/>
      <c r="AH115" s="440"/>
      <c r="AI115" s="440"/>
      <c r="AJ115" s="440"/>
      <c r="AK115" s="440"/>
    </row>
    <row r="116" spans="11:37">
      <c r="K116" s="446"/>
      <c r="L116" s="446"/>
      <c r="M116" s="446"/>
      <c r="N116" s="440"/>
      <c r="O116" s="440"/>
      <c r="P116" s="440"/>
      <c r="Q116" s="440"/>
      <c r="R116" s="440"/>
      <c r="S116" s="440"/>
      <c r="T116" s="440"/>
      <c r="U116" s="440"/>
      <c r="V116" s="440"/>
      <c r="W116" s="440"/>
      <c r="X116" s="440"/>
      <c r="Y116" s="440"/>
      <c r="Z116" s="440"/>
      <c r="AA116" s="440"/>
      <c r="AB116" s="440"/>
      <c r="AC116" s="440"/>
      <c r="AD116" s="440"/>
      <c r="AE116" s="636"/>
      <c r="AF116" s="440"/>
      <c r="AG116" s="440"/>
      <c r="AH116" s="440"/>
      <c r="AI116" s="440"/>
      <c r="AJ116" s="440"/>
      <c r="AK116" s="440"/>
    </row>
    <row r="117" spans="11:37">
      <c r="K117" s="446"/>
      <c r="L117" s="446"/>
      <c r="M117" s="446"/>
      <c r="N117" s="440"/>
      <c r="O117" s="440"/>
      <c r="P117" s="440"/>
      <c r="Q117" s="440"/>
      <c r="R117" s="440"/>
      <c r="S117" s="440"/>
      <c r="T117" s="440"/>
      <c r="U117" s="440"/>
      <c r="V117" s="440"/>
      <c r="W117" s="440"/>
      <c r="X117" s="440"/>
      <c r="Y117" s="440"/>
      <c r="Z117" s="440"/>
      <c r="AA117" s="440"/>
      <c r="AB117" s="440"/>
      <c r="AC117" s="440"/>
      <c r="AD117" s="440"/>
      <c r="AE117" s="636"/>
      <c r="AF117" s="440"/>
      <c r="AG117" s="440"/>
      <c r="AH117" s="440"/>
      <c r="AI117" s="440"/>
      <c r="AJ117" s="440"/>
      <c r="AK117" s="440"/>
    </row>
    <row r="118" spans="11:37">
      <c r="K118" s="446"/>
      <c r="L118" s="446"/>
      <c r="M118" s="446"/>
      <c r="N118" s="440"/>
      <c r="O118" s="440"/>
      <c r="P118" s="440"/>
      <c r="Q118" s="440"/>
      <c r="R118" s="440"/>
      <c r="S118" s="440"/>
      <c r="T118" s="440"/>
      <c r="U118" s="440"/>
      <c r="V118" s="440"/>
      <c r="W118" s="440"/>
      <c r="X118" s="440"/>
      <c r="Y118" s="440"/>
      <c r="Z118" s="440"/>
      <c r="AA118" s="440"/>
      <c r="AB118" s="440"/>
      <c r="AC118" s="440"/>
      <c r="AD118" s="440"/>
      <c r="AE118" s="636"/>
      <c r="AF118" s="440"/>
      <c r="AG118" s="440"/>
      <c r="AH118" s="440"/>
      <c r="AI118" s="440"/>
      <c r="AJ118" s="440"/>
      <c r="AK118" s="440"/>
    </row>
    <row r="119" spans="11:37">
      <c r="K119" s="446"/>
      <c r="L119" s="446"/>
      <c r="M119" s="446"/>
      <c r="N119" s="440"/>
      <c r="O119" s="440"/>
      <c r="P119" s="440"/>
      <c r="Q119" s="440"/>
      <c r="R119" s="440"/>
      <c r="S119" s="440"/>
      <c r="T119" s="440"/>
      <c r="U119" s="440"/>
      <c r="V119" s="440"/>
      <c r="W119" s="440"/>
      <c r="X119" s="440"/>
      <c r="Y119" s="440"/>
      <c r="Z119" s="440"/>
      <c r="AA119" s="440"/>
      <c r="AB119" s="440"/>
      <c r="AC119" s="440"/>
      <c r="AD119" s="440"/>
      <c r="AE119" s="636"/>
      <c r="AF119" s="440"/>
      <c r="AG119" s="440"/>
      <c r="AH119" s="440"/>
      <c r="AI119" s="440"/>
      <c r="AJ119" s="440"/>
      <c r="AK119" s="440"/>
    </row>
    <row r="120" spans="11:37">
      <c r="K120" s="446"/>
      <c r="L120" s="446"/>
      <c r="M120" s="446"/>
      <c r="N120" s="440"/>
      <c r="O120" s="440"/>
      <c r="P120" s="440"/>
      <c r="Q120" s="440"/>
      <c r="R120" s="440"/>
      <c r="S120" s="440"/>
      <c r="T120" s="440"/>
      <c r="U120" s="440"/>
      <c r="V120" s="440"/>
      <c r="W120" s="440"/>
      <c r="X120" s="440"/>
      <c r="Y120" s="440"/>
      <c r="Z120" s="440"/>
      <c r="AA120" s="440"/>
      <c r="AB120" s="440"/>
      <c r="AC120" s="440"/>
      <c r="AD120" s="440"/>
      <c r="AE120" s="636"/>
      <c r="AF120" s="440"/>
      <c r="AG120" s="440"/>
      <c r="AH120" s="440"/>
      <c r="AI120" s="440"/>
      <c r="AJ120" s="440"/>
      <c r="AK120" s="440"/>
    </row>
    <row r="121" spans="11:37">
      <c r="K121" s="446"/>
      <c r="L121" s="446"/>
      <c r="M121" s="446"/>
      <c r="N121" s="440"/>
      <c r="O121" s="440"/>
      <c r="P121" s="440"/>
      <c r="Q121" s="440"/>
      <c r="R121" s="440"/>
      <c r="S121" s="440"/>
      <c r="T121" s="440"/>
      <c r="U121" s="440"/>
      <c r="V121" s="440"/>
      <c r="W121" s="440"/>
      <c r="X121" s="440"/>
      <c r="Y121" s="440"/>
      <c r="Z121" s="440"/>
      <c r="AA121" s="440"/>
      <c r="AB121" s="440"/>
      <c r="AC121" s="440"/>
      <c r="AD121" s="440"/>
      <c r="AE121" s="636"/>
      <c r="AF121" s="440"/>
      <c r="AG121" s="440"/>
      <c r="AH121" s="440"/>
      <c r="AI121" s="440"/>
      <c r="AJ121" s="440"/>
      <c r="AK121" s="440"/>
    </row>
    <row r="122" spans="11:37">
      <c r="K122" s="446"/>
      <c r="L122" s="446"/>
      <c r="M122" s="446"/>
      <c r="N122" s="440"/>
      <c r="O122" s="440"/>
      <c r="P122" s="440"/>
      <c r="Q122" s="440"/>
      <c r="R122" s="440"/>
      <c r="S122" s="440"/>
      <c r="T122" s="440"/>
      <c r="U122" s="440"/>
      <c r="V122" s="440"/>
      <c r="W122" s="440"/>
      <c r="X122" s="440"/>
      <c r="Y122" s="440"/>
      <c r="Z122" s="440"/>
      <c r="AA122" s="440"/>
      <c r="AB122" s="440"/>
      <c r="AC122" s="440"/>
      <c r="AD122" s="440"/>
      <c r="AE122" s="636"/>
      <c r="AF122" s="440"/>
      <c r="AG122" s="440"/>
      <c r="AH122" s="440"/>
      <c r="AI122" s="440"/>
      <c r="AJ122" s="440"/>
      <c r="AK122" s="440"/>
    </row>
    <row r="123" spans="11:37">
      <c r="K123" s="446"/>
      <c r="L123" s="446"/>
      <c r="M123" s="446"/>
      <c r="N123" s="440"/>
      <c r="O123" s="440"/>
      <c r="P123" s="440"/>
      <c r="Q123" s="440"/>
      <c r="R123" s="440"/>
      <c r="S123" s="440"/>
      <c r="T123" s="440"/>
      <c r="U123" s="440"/>
      <c r="V123" s="440"/>
      <c r="W123" s="440"/>
      <c r="X123" s="440"/>
      <c r="Y123" s="440"/>
      <c r="Z123" s="440"/>
      <c r="AA123" s="440"/>
      <c r="AB123" s="440"/>
      <c r="AC123" s="440"/>
      <c r="AD123" s="440"/>
      <c r="AE123" s="636"/>
      <c r="AF123" s="440"/>
      <c r="AG123" s="440"/>
      <c r="AH123" s="440"/>
      <c r="AI123" s="440"/>
      <c r="AJ123" s="440"/>
      <c r="AK123" s="440"/>
    </row>
    <row r="124" spans="11:37">
      <c r="K124" s="446"/>
      <c r="L124" s="446"/>
      <c r="M124" s="446"/>
      <c r="N124" s="440"/>
      <c r="O124" s="440"/>
      <c r="P124" s="440"/>
      <c r="Q124" s="440"/>
      <c r="R124" s="440"/>
      <c r="S124" s="440"/>
      <c r="T124" s="440"/>
      <c r="U124" s="440"/>
      <c r="V124" s="440"/>
      <c r="W124" s="440"/>
      <c r="X124" s="440"/>
      <c r="Y124" s="440"/>
      <c r="Z124" s="440"/>
      <c r="AA124" s="440"/>
      <c r="AB124" s="440"/>
      <c r="AC124" s="440"/>
      <c r="AD124" s="440"/>
      <c r="AE124" s="636"/>
      <c r="AF124" s="440"/>
      <c r="AG124" s="440"/>
      <c r="AH124" s="440"/>
      <c r="AI124" s="440"/>
      <c r="AJ124" s="440"/>
      <c r="AK124" s="440"/>
    </row>
    <row r="125" spans="11:37">
      <c r="K125" s="446"/>
      <c r="L125" s="446"/>
      <c r="M125" s="446"/>
      <c r="N125" s="440"/>
      <c r="O125" s="440"/>
      <c r="P125" s="440"/>
      <c r="Q125" s="440"/>
      <c r="R125" s="440"/>
      <c r="S125" s="440"/>
      <c r="T125" s="440"/>
      <c r="U125" s="440"/>
      <c r="V125" s="440"/>
      <c r="W125" s="440"/>
      <c r="X125" s="440"/>
      <c r="Y125" s="440"/>
      <c r="Z125" s="440"/>
      <c r="AA125" s="440"/>
      <c r="AB125" s="440"/>
      <c r="AC125" s="440"/>
      <c r="AD125" s="440"/>
      <c r="AE125" s="636"/>
      <c r="AF125" s="440"/>
      <c r="AG125" s="440"/>
      <c r="AH125" s="440"/>
      <c r="AI125" s="440"/>
      <c r="AJ125" s="440"/>
      <c r="AK125" s="440"/>
    </row>
    <row r="126" spans="11:37">
      <c r="K126" s="446"/>
      <c r="L126" s="446"/>
      <c r="M126" s="446"/>
      <c r="N126" s="440"/>
      <c r="O126" s="440"/>
      <c r="P126" s="440"/>
      <c r="Q126" s="440"/>
      <c r="R126" s="440"/>
      <c r="S126" s="440"/>
      <c r="T126" s="440"/>
      <c r="U126" s="440"/>
      <c r="V126" s="440"/>
      <c r="W126" s="440"/>
      <c r="X126" s="440"/>
      <c r="Y126" s="440"/>
      <c r="Z126" s="440"/>
      <c r="AA126" s="440"/>
      <c r="AB126" s="440"/>
      <c r="AC126" s="440"/>
      <c r="AD126" s="440"/>
      <c r="AE126" s="636"/>
      <c r="AF126" s="440"/>
      <c r="AG126" s="440"/>
      <c r="AH126" s="440"/>
      <c r="AI126" s="440"/>
      <c r="AJ126" s="440"/>
      <c r="AK126" s="440"/>
    </row>
    <row r="127" spans="11:37">
      <c r="K127" s="446"/>
      <c r="L127" s="446"/>
      <c r="M127" s="446"/>
      <c r="N127" s="440"/>
      <c r="O127" s="440"/>
      <c r="P127" s="440"/>
      <c r="Q127" s="440"/>
      <c r="R127" s="440"/>
      <c r="S127" s="440"/>
      <c r="T127" s="440"/>
      <c r="U127" s="440"/>
      <c r="V127" s="440"/>
      <c r="W127" s="440"/>
      <c r="X127" s="440"/>
      <c r="Y127" s="440"/>
      <c r="Z127" s="440"/>
      <c r="AA127" s="440"/>
      <c r="AB127" s="440"/>
      <c r="AC127" s="440"/>
      <c r="AD127" s="440"/>
      <c r="AE127" s="636"/>
      <c r="AF127" s="440"/>
      <c r="AG127" s="440"/>
      <c r="AH127" s="440"/>
      <c r="AI127" s="440"/>
      <c r="AJ127" s="440"/>
      <c r="AK127" s="440"/>
    </row>
    <row r="128" spans="11:37">
      <c r="K128" s="446"/>
      <c r="L128" s="446"/>
      <c r="M128" s="446"/>
      <c r="N128" s="440"/>
      <c r="O128" s="440"/>
      <c r="P128" s="440"/>
      <c r="Q128" s="440"/>
      <c r="R128" s="440"/>
      <c r="S128" s="440"/>
      <c r="T128" s="440"/>
      <c r="U128" s="440"/>
      <c r="V128" s="440"/>
      <c r="W128" s="440"/>
      <c r="X128" s="440"/>
      <c r="Y128" s="440"/>
      <c r="Z128" s="440"/>
      <c r="AA128" s="440"/>
      <c r="AB128" s="440"/>
      <c r="AC128" s="440"/>
      <c r="AD128" s="440"/>
      <c r="AE128" s="636"/>
      <c r="AF128" s="440"/>
      <c r="AG128" s="440"/>
      <c r="AH128" s="440"/>
      <c r="AI128" s="440"/>
      <c r="AJ128" s="440"/>
      <c r="AK128" s="440"/>
    </row>
    <row r="129" spans="11:37">
      <c r="K129" s="446"/>
      <c r="L129" s="446"/>
      <c r="M129" s="446"/>
      <c r="N129" s="440"/>
      <c r="O129" s="440"/>
      <c r="P129" s="440"/>
      <c r="Q129" s="440"/>
      <c r="R129" s="440"/>
      <c r="S129" s="440"/>
      <c r="T129" s="440"/>
      <c r="U129" s="440"/>
      <c r="V129" s="440"/>
      <c r="W129" s="440"/>
      <c r="X129" s="440"/>
      <c r="Y129" s="440"/>
      <c r="Z129" s="440"/>
      <c r="AA129" s="440"/>
      <c r="AB129" s="440"/>
      <c r="AC129" s="440"/>
      <c r="AD129" s="440"/>
      <c r="AE129" s="636"/>
      <c r="AF129" s="440"/>
      <c r="AG129" s="440"/>
      <c r="AH129" s="440"/>
      <c r="AI129" s="440"/>
      <c r="AJ129" s="440"/>
      <c r="AK129" s="440"/>
    </row>
    <row r="130" spans="11:37">
      <c r="K130" s="446"/>
      <c r="L130" s="446"/>
      <c r="M130" s="446"/>
      <c r="N130" s="440"/>
      <c r="O130" s="440"/>
      <c r="P130" s="440"/>
      <c r="Q130" s="440"/>
      <c r="R130" s="440"/>
      <c r="S130" s="440"/>
      <c r="T130" s="440"/>
      <c r="U130" s="440"/>
      <c r="V130" s="440"/>
      <c r="W130" s="440"/>
      <c r="X130" s="440"/>
      <c r="Y130" s="440"/>
      <c r="Z130" s="440"/>
      <c r="AA130" s="440"/>
      <c r="AB130" s="440"/>
      <c r="AC130" s="440"/>
      <c r="AD130" s="440"/>
      <c r="AE130" s="636"/>
      <c r="AF130" s="440"/>
      <c r="AG130" s="440"/>
      <c r="AH130" s="440"/>
      <c r="AI130" s="440"/>
      <c r="AJ130" s="440"/>
      <c r="AK130" s="440"/>
    </row>
    <row r="131" spans="11:37">
      <c r="K131" s="446"/>
      <c r="L131" s="446"/>
      <c r="M131" s="446"/>
      <c r="N131" s="440"/>
      <c r="O131" s="440"/>
      <c r="P131" s="440"/>
      <c r="Q131" s="440"/>
      <c r="R131" s="440"/>
      <c r="S131" s="440"/>
      <c r="T131" s="440"/>
      <c r="U131" s="440"/>
      <c r="V131" s="440"/>
      <c r="W131" s="440"/>
      <c r="X131" s="440"/>
      <c r="Y131" s="440"/>
      <c r="Z131" s="440"/>
      <c r="AA131" s="440"/>
      <c r="AB131" s="440"/>
      <c r="AC131" s="440"/>
      <c r="AD131" s="440"/>
      <c r="AE131" s="636"/>
      <c r="AF131" s="440"/>
      <c r="AG131" s="440"/>
      <c r="AH131" s="440"/>
      <c r="AI131" s="440"/>
      <c r="AJ131" s="440"/>
      <c r="AK131" s="440"/>
    </row>
    <row r="132" spans="11:37">
      <c r="K132" s="446"/>
      <c r="L132" s="446"/>
      <c r="M132" s="446"/>
      <c r="N132" s="440"/>
      <c r="O132" s="440"/>
      <c r="P132" s="440"/>
      <c r="Q132" s="440"/>
      <c r="R132" s="440"/>
      <c r="S132" s="440"/>
      <c r="T132" s="440"/>
      <c r="U132" s="440"/>
      <c r="V132" s="440"/>
      <c r="W132" s="440"/>
      <c r="X132" s="440"/>
      <c r="Y132" s="440"/>
      <c r="Z132" s="440"/>
      <c r="AA132" s="440"/>
      <c r="AB132" s="440"/>
      <c r="AC132" s="440"/>
      <c r="AD132" s="440"/>
      <c r="AE132" s="636"/>
      <c r="AF132" s="440"/>
      <c r="AG132" s="440"/>
      <c r="AH132" s="440"/>
      <c r="AI132" s="440"/>
      <c r="AJ132" s="440"/>
      <c r="AK132" s="440"/>
    </row>
    <row r="133" spans="11:37">
      <c r="K133" s="446"/>
      <c r="L133" s="446"/>
      <c r="M133" s="446"/>
      <c r="N133" s="440"/>
      <c r="O133" s="440"/>
      <c r="P133" s="440"/>
      <c r="Q133" s="440"/>
      <c r="R133" s="440"/>
      <c r="S133" s="440"/>
      <c r="T133" s="440"/>
      <c r="U133" s="440"/>
      <c r="V133" s="440"/>
      <c r="W133" s="440"/>
      <c r="X133" s="440"/>
      <c r="Y133" s="440"/>
      <c r="Z133" s="440"/>
      <c r="AA133" s="440"/>
      <c r="AB133" s="440"/>
      <c r="AC133" s="440"/>
      <c r="AD133" s="440"/>
      <c r="AE133" s="636"/>
      <c r="AF133" s="440"/>
      <c r="AG133" s="440"/>
      <c r="AH133" s="440"/>
      <c r="AI133" s="440"/>
      <c r="AJ133" s="440"/>
      <c r="AK133" s="440"/>
    </row>
    <row r="134" spans="11:37">
      <c r="K134" s="446"/>
      <c r="L134" s="446"/>
      <c r="M134" s="446"/>
      <c r="N134" s="440"/>
      <c r="O134" s="440"/>
      <c r="P134" s="440"/>
      <c r="Q134" s="440"/>
      <c r="R134" s="440"/>
      <c r="S134" s="440"/>
      <c r="T134" s="440"/>
      <c r="U134" s="440"/>
      <c r="V134" s="440"/>
      <c r="W134" s="440"/>
      <c r="X134" s="440"/>
      <c r="Y134" s="440"/>
      <c r="Z134" s="440"/>
      <c r="AA134" s="440"/>
      <c r="AB134" s="440"/>
      <c r="AC134" s="440"/>
      <c r="AD134" s="440"/>
      <c r="AE134" s="636"/>
      <c r="AF134" s="440"/>
      <c r="AG134" s="440"/>
      <c r="AH134" s="440"/>
      <c r="AI134" s="440"/>
      <c r="AJ134" s="440"/>
      <c r="AK134" s="440"/>
    </row>
    <row r="135" spans="11:37">
      <c r="K135" s="446"/>
      <c r="L135" s="446"/>
      <c r="M135" s="446"/>
      <c r="N135" s="440"/>
      <c r="O135" s="440"/>
      <c r="P135" s="440"/>
      <c r="Q135" s="440"/>
      <c r="R135" s="440"/>
      <c r="S135" s="440"/>
      <c r="T135" s="440"/>
      <c r="U135" s="440"/>
      <c r="V135" s="440"/>
      <c r="W135" s="440"/>
      <c r="X135" s="440"/>
      <c r="Y135" s="440"/>
      <c r="Z135" s="440"/>
      <c r="AA135" s="440"/>
      <c r="AB135" s="440"/>
      <c r="AC135" s="440"/>
      <c r="AD135" s="440"/>
      <c r="AE135" s="636"/>
      <c r="AF135" s="440"/>
      <c r="AG135" s="440"/>
      <c r="AH135" s="440"/>
      <c r="AI135" s="440"/>
      <c r="AJ135" s="440"/>
      <c r="AK135" s="440"/>
    </row>
    <row r="136" spans="11:37">
      <c r="K136" s="446"/>
      <c r="L136" s="446"/>
      <c r="M136" s="446"/>
      <c r="N136" s="440"/>
      <c r="O136" s="440"/>
      <c r="P136" s="440"/>
      <c r="Q136" s="440"/>
      <c r="R136" s="440"/>
      <c r="S136" s="440"/>
      <c r="T136" s="440"/>
      <c r="U136" s="440"/>
      <c r="V136" s="440"/>
      <c r="W136" s="440"/>
      <c r="X136" s="440"/>
      <c r="Y136" s="440"/>
      <c r="Z136" s="440"/>
      <c r="AA136" s="440"/>
      <c r="AB136" s="440"/>
      <c r="AC136" s="440"/>
      <c r="AD136" s="440"/>
      <c r="AE136" s="636"/>
      <c r="AF136" s="440"/>
      <c r="AG136" s="440"/>
      <c r="AH136" s="440"/>
      <c r="AI136" s="440"/>
      <c r="AJ136" s="440"/>
      <c r="AK136" s="440"/>
    </row>
    <row r="137" spans="11:37">
      <c r="K137" s="446"/>
      <c r="L137" s="446"/>
      <c r="M137" s="446"/>
      <c r="N137" s="440"/>
      <c r="O137" s="440"/>
      <c r="P137" s="440"/>
      <c r="Q137" s="440"/>
      <c r="R137" s="440"/>
      <c r="S137" s="440"/>
      <c r="T137" s="440"/>
      <c r="U137" s="440"/>
      <c r="V137" s="440"/>
      <c r="W137" s="440"/>
      <c r="X137" s="440"/>
      <c r="Y137" s="440"/>
      <c r="Z137" s="440"/>
      <c r="AA137" s="440"/>
      <c r="AB137" s="440"/>
      <c r="AC137" s="440"/>
      <c r="AD137" s="440"/>
      <c r="AE137" s="636"/>
      <c r="AF137" s="440"/>
      <c r="AG137" s="440"/>
      <c r="AH137" s="440"/>
      <c r="AI137" s="440"/>
      <c r="AJ137" s="440"/>
      <c r="AK137" s="440"/>
    </row>
    <row r="138" spans="11:37">
      <c r="K138" s="446"/>
      <c r="L138" s="446"/>
      <c r="M138" s="446"/>
      <c r="N138" s="440"/>
      <c r="O138" s="440"/>
      <c r="P138" s="440"/>
      <c r="Q138" s="440"/>
      <c r="R138" s="440"/>
      <c r="S138" s="440"/>
      <c r="T138" s="440"/>
      <c r="U138" s="440"/>
      <c r="V138" s="440"/>
      <c r="W138" s="440"/>
      <c r="X138" s="440"/>
      <c r="Y138" s="440"/>
      <c r="Z138" s="440"/>
      <c r="AA138" s="440"/>
      <c r="AB138" s="440"/>
      <c r="AC138" s="440"/>
      <c r="AD138" s="440"/>
      <c r="AE138" s="636"/>
      <c r="AF138" s="440"/>
      <c r="AG138" s="440"/>
      <c r="AH138" s="440"/>
      <c r="AI138" s="440"/>
      <c r="AJ138" s="440"/>
      <c r="AK138" s="440"/>
    </row>
    <row r="139" spans="11:37">
      <c r="K139" s="446"/>
      <c r="L139" s="446"/>
      <c r="M139" s="446"/>
      <c r="N139" s="440"/>
      <c r="O139" s="440"/>
      <c r="P139" s="440"/>
      <c r="Q139" s="440"/>
      <c r="R139" s="440"/>
      <c r="S139" s="440"/>
      <c r="T139" s="440"/>
      <c r="U139" s="440"/>
      <c r="V139" s="440"/>
      <c r="W139" s="440"/>
      <c r="X139" s="440"/>
      <c r="Y139" s="440"/>
      <c r="Z139" s="440"/>
      <c r="AA139" s="440"/>
      <c r="AB139" s="440"/>
      <c r="AC139" s="440"/>
      <c r="AD139" s="440"/>
      <c r="AE139" s="636"/>
      <c r="AF139" s="440"/>
      <c r="AG139" s="440"/>
      <c r="AH139" s="440"/>
      <c r="AI139" s="440"/>
      <c r="AJ139" s="440"/>
      <c r="AK139" s="440"/>
    </row>
    <row r="140" spans="11:37">
      <c r="K140" s="446"/>
      <c r="L140" s="446"/>
      <c r="M140" s="446"/>
      <c r="N140" s="440"/>
      <c r="O140" s="440"/>
      <c r="P140" s="440"/>
      <c r="Q140" s="440"/>
      <c r="R140" s="440"/>
      <c r="S140" s="440"/>
      <c r="T140" s="440"/>
      <c r="U140" s="440"/>
      <c r="V140" s="440"/>
      <c r="W140" s="440"/>
      <c r="X140" s="440"/>
      <c r="Y140" s="440"/>
      <c r="Z140" s="440"/>
      <c r="AA140" s="440"/>
      <c r="AB140" s="440"/>
      <c r="AC140" s="440"/>
      <c r="AD140" s="440"/>
      <c r="AE140" s="636"/>
      <c r="AF140" s="440"/>
      <c r="AG140" s="440"/>
      <c r="AH140" s="440"/>
      <c r="AI140" s="440"/>
      <c r="AJ140" s="440"/>
      <c r="AK140" s="440"/>
    </row>
    <row r="141" spans="11:37">
      <c r="K141" s="446"/>
      <c r="L141" s="446"/>
      <c r="M141" s="446"/>
      <c r="N141" s="440"/>
      <c r="O141" s="440"/>
      <c r="P141" s="440"/>
      <c r="Q141" s="440"/>
      <c r="R141" s="440"/>
      <c r="S141" s="440"/>
      <c r="T141" s="440"/>
      <c r="U141" s="440"/>
      <c r="V141" s="440"/>
      <c r="W141" s="440"/>
      <c r="X141" s="440"/>
      <c r="Y141" s="440"/>
      <c r="Z141" s="440"/>
      <c r="AA141" s="440"/>
      <c r="AB141" s="440"/>
      <c r="AC141" s="440"/>
      <c r="AD141" s="440"/>
      <c r="AE141" s="636"/>
      <c r="AF141" s="440"/>
      <c r="AG141" s="440"/>
      <c r="AH141" s="440"/>
      <c r="AI141" s="440"/>
      <c r="AJ141" s="440"/>
      <c r="AK141" s="440"/>
    </row>
    <row r="142" spans="11:37">
      <c r="K142" s="446"/>
      <c r="L142" s="446"/>
      <c r="M142" s="446"/>
      <c r="N142" s="440"/>
      <c r="O142" s="440"/>
      <c r="P142" s="440"/>
      <c r="Q142" s="440"/>
      <c r="R142" s="440"/>
      <c r="S142" s="440"/>
      <c r="T142" s="440"/>
      <c r="U142" s="440"/>
      <c r="V142" s="440"/>
      <c r="W142" s="440"/>
      <c r="X142" s="440"/>
      <c r="Y142" s="440"/>
      <c r="Z142" s="440"/>
      <c r="AA142" s="440"/>
      <c r="AB142" s="440"/>
      <c r="AC142" s="440"/>
      <c r="AD142" s="440"/>
      <c r="AE142" s="636"/>
      <c r="AF142" s="440"/>
      <c r="AG142" s="440"/>
      <c r="AH142" s="440"/>
      <c r="AI142" s="440"/>
      <c r="AJ142" s="440"/>
      <c r="AK142" s="440"/>
    </row>
    <row r="143" spans="11:37">
      <c r="K143" s="446"/>
      <c r="L143" s="446"/>
      <c r="M143" s="446"/>
      <c r="N143" s="440"/>
      <c r="O143" s="440"/>
      <c r="P143" s="440"/>
      <c r="Q143" s="440"/>
      <c r="R143" s="440"/>
      <c r="S143" s="440"/>
      <c r="T143" s="440"/>
      <c r="U143" s="440"/>
      <c r="V143" s="440"/>
      <c r="W143" s="440"/>
      <c r="X143" s="440"/>
      <c r="Y143" s="440"/>
      <c r="Z143" s="440"/>
      <c r="AA143" s="440"/>
      <c r="AB143" s="440"/>
      <c r="AC143" s="440"/>
      <c r="AD143" s="440"/>
      <c r="AE143" s="636"/>
      <c r="AF143" s="440"/>
      <c r="AG143" s="440"/>
      <c r="AH143" s="440"/>
      <c r="AI143" s="440"/>
      <c r="AJ143" s="440"/>
      <c r="AK143" s="440"/>
    </row>
    <row r="144" spans="11:37">
      <c r="K144" s="446"/>
      <c r="L144" s="446"/>
      <c r="M144" s="446"/>
      <c r="N144" s="440"/>
      <c r="O144" s="440"/>
      <c r="P144" s="440"/>
      <c r="Q144" s="440"/>
      <c r="R144" s="440"/>
      <c r="S144" s="440"/>
      <c r="T144" s="440"/>
      <c r="U144" s="440"/>
      <c r="V144" s="440"/>
      <c r="W144" s="440"/>
      <c r="X144" s="440"/>
      <c r="Y144" s="440"/>
      <c r="Z144" s="440"/>
      <c r="AA144" s="440"/>
      <c r="AB144" s="440"/>
      <c r="AC144" s="440"/>
      <c r="AD144" s="440"/>
      <c r="AE144" s="636"/>
      <c r="AF144" s="440"/>
      <c r="AG144" s="440"/>
      <c r="AH144" s="440"/>
      <c r="AI144" s="440"/>
      <c r="AJ144" s="440"/>
      <c r="AK144" s="440"/>
    </row>
    <row r="145" spans="11:37">
      <c r="K145" s="446"/>
      <c r="L145" s="446"/>
      <c r="M145" s="446"/>
      <c r="N145" s="440"/>
      <c r="O145" s="440"/>
      <c r="P145" s="440"/>
      <c r="Q145" s="440"/>
      <c r="R145" s="440"/>
      <c r="S145" s="440"/>
      <c r="T145" s="440"/>
      <c r="U145" s="440"/>
      <c r="V145" s="440"/>
      <c r="W145" s="440"/>
      <c r="X145" s="440"/>
      <c r="Y145" s="440"/>
      <c r="Z145" s="440"/>
      <c r="AA145" s="440"/>
      <c r="AB145" s="440"/>
      <c r="AC145" s="440"/>
      <c r="AD145" s="440"/>
      <c r="AE145" s="636"/>
      <c r="AF145" s="440"/>
      <c r="AG145" s="440"/>
      <c r="AH145" s="440"/>
      <c r="AI145" s="440"/>
      <c r="AJ145" s="440"/>
      <c r="AK145" s="440"/>
    </row>
    <row r="146" spans="11:37">
      <c r="K146" s="446"/>
      <c r="L146" s="446"/>
      <c r="M146" s="446"/>
      <c r="N146" s="440"/>
      <c r="O146" s="440"/>
      <c r="P146" s="440"/>
      <c r="Q146" s="440"/>
      <c r="R146" s="440"/>
      <c r="S146" s="440"/>
      <c r="T146" s="440"/>
      <c r="U146" s="440"/>
      <c r="V146" s="440"/>
      <c r="W146" s="440"/>
      <c r="X146" s="440"/>
      <c r="Y146" s="440"/>
      <c r="Z146" s="440"/>
      <c r="AA146" s="440"/>
      <c r="AB146" s="440"/>
      <c r="AC146" s="440"/>
      <c r="AD146" s="440"/>
      <c r="AE146" s="636"/>
      <c r="AF146" s="440"/>
      <c r="AG146" s="440"/>
      <c r="AH146" s="440"/>
      <c r="AI146" s="440"/>
      <c r="AJ146" s="440"/>
      <c r="AK146" s="440"/>
    </row>
    <row r="147" spans="11:37">
      <c r="K147" s="446"/>
      <c r="L147" s="446"/>
      <c r="M147" s="446"/>
      <c r="N147" s="440"/>
      <c r="O147" s="440"/>
      <c r="P147" s="440"/>
      <c r="Q147" s="440"/>
      <c r="R147" s="440"/>
      <c r="S147" s="440"/>
      <c r="T147" s="440"/>
      <c r="U147" s="440"/>
      <c r="V147" s="440"/>
      <c r="W147" s="440"/>
      <c r="X147" s="440"/>
      <c r="Y147" s="440"/>
      <c r="Z147" s="440"/>
      <c r="AA147" s="440"/>
      <c r="AB147" s="440"/>
      <c r="AC147" s="440"/>
      <c r="AD147" s="440"/>
      <c r="AE147" s="636"/>
      <c r="AF147" s="440"/>
      <c r="AG147" s="440"/>
      <c r="AH147" s="440"/>
      <c r="AI147" s="440"/>
      <c r="AJ147" s="440"/>
      <c r="AK147" s="440"/>
    </row>
    <row r="148" spans="11:37">
      <c r="K148" s="446"/>
      <c r="L148" s="446"/>
      <c r="M148" s="446"/>
      <c r="N148" s="440"/>
      <c r="O148" s="440"/>
      <c r="P148" s="440"/>
      <c r="Q148" s="440"/>
      <c r="R148" s="440"/>
      <c r="S148" s="440"/>
      <c r="T148" s="440"/>
      <c r="U148" s="440"/>
      <c r="V148" s="440"/>
      <c r="W148" s="440"/>
      <c r="X148" s="440"/>
      <c r="Y148" s="440"/>
      <c r="Z148" s="440"/>
      <c r="AA148" s="440"/>
      <c r="AB148" s="440"/>
      <c r="AC148" s="440"/>
      <c r="AD148" s="440"/>
      <c r="AE148" s="636"/>
      <c r="AF148" s="440"/>
      <c r="AG148" s="440"/>
      <c r="AH148" s="440"/>
      <c r="AI148" s="440"/>
      <c r="AJ148" s="440"/>
      <c r="AK148" s="440"/>
    </row>
    <row r="149" spans="11:37">
      <c r="K149" s="446"/>
      <c r="L149" s="446"/>
      <c r="M149" s="446"/>
      <c r="N149" s="440"/>
      <c r="O149" s="440"/>
      <c r="P149" s="440"/>
      <c r="Q149" s="440"/>
      <c r="R149" s="440"/>
      <c r="S149" s="440"/>
      <c r="T149" s="440"/>
      <c r="U149" s="440"/>
      <c r="V149" s="440"/>
      <c r="W149" s="440"/>
      <c r="X149" s="440"/>
      <c r="Y149" s="440"/>
      <c r="Z149" s="440"/>
      <c r="AA149" s="440"/>
      <c r="AB149" s="440"/>
      <c r="AC149" s="440"/>
      <c r="AD149" s="440"/>
      <c r="AE149" s="636"/>
      <c r="AF149" s="440"/>
      <c r="AG149" s="440"/>
      <c r="AH149" s="440"/>
      <c r="AI149" s="440"/>
      <c r="AJ149" s="440"/>
      <c r="AK149" s="440"/>
    </row>
    <row r="150" spans="11:37">
      <c r="K150" s="446"/>
      <c r="L150" s="446"/>
      <c r="M150" s="446"/>
      <c r="N150" s="440"/>
      <c r="O150" s="440"/>
      <c r="P150" s="440"/>
      <c r="Q150" s="440"/>
      <c r="R150" s="440"/>
      <c r="S150" s="440"/>
      <c r="T150" s="440"/>
      <c r="U150" s="440"/>
      <c r="V150" s="440"/>
      <c r="W150" s="440"/>
      <c r="X150" s="440"/>
      <c r="Y150" s="440"/>
      <c r="Z150" s="440"/>
      <c r="AA150" s="440"/>
      <c r="AB150" s="440"/>
      <c r="AC150" s="440"/>
      <c r="AD150" s="440"/>
      <c r="AE150" s="636"/>
      <c r="AF150" s="440"/>
      <c r="AG150" s="440"/>
      <c r="AH150" s="440"/>
      <c r="AI150" s="440"/>
      <c r="AJ150" s="440"/>
      <c r="AK150" s="440"/>
    </row>
    <row r="151" spans="11:37">
      <c r="K151" s="446"/>
      <c r="L151" s="446"/>
      <c r="M151" s="446"/>
      <c r="N151" s="440"/>
      <c r="O151" s="440"/>
      <c r="P151" s="440"/>
      <c r="Q151" s="440"/>
      <c r="R151" s="440"/>
      <c r="S151" s="440"/>
      <c r="T151" s="440"/>
      <c r="U151" s="440"/>
      <c r="V151" s="440"/>
      <c r="W151" s="440"/>
      <c r="X151" s="440"/>
      <c r="Y151" s="440"/>
      <c r="Z151" s="440"/>
      <c r="AA151" s="440"/>
      <c r="AB151" s="440"/>
      <c r="AC151" s="440"/>
      <c r="AD151" s="440"/>
      <c r="AE151" s="636"/>
      <c r="AF151" s="440"/>
      <c r="AG151" s="440"/>
      <c r="AH151" s="440"/>
      <c r="AI151" s="440"/>
      <c r="AJ151" s="440"/>
      <c r="AK151" s="440"/>
    </row>
    <row r="152" spans="11:37">
      <c r="K152" s="446"/>
      <c r="L152" s="446"/>
      <c r="M152" s="446"/>
      <c r="N152" s="440"/>
      <c r="O152" s="440"/>
      <c r="P152" s="440"/>
      <c r="Q152" s="440"/>
      <c r="R152" s="440"/>
      <c r="S152" s="440"/>
      <c r="T152" s="440"/>
      <c r="U152" s="440"/>
      <c r="V152" s="440"/>
      <c r="W152" s="440"/>
      <c r="X152" s="440"/>
      <c r="Y152" s="440"/>
      <c r="Z152" s="440"/>
      <c r="AA152" s="440"/>
      <c r="AB152" s="440"/>
      <c r="AC152" s="440"/>
      <c r="AD152" s="440"/>
      <c r="AE152" s="636"/>
      <c r="AF152" s="440"/>
      <c r="AG152" s="440"/>
      <c r="AH152" s="440"/>
      <c r="AI152" s="440"/>
      <c r="AJ152" s="440"/>
      <c r="AK152" s="440"/>
    </row>
    <row r="153" spans="11:37">
      <c r="K153" s="446"/>
      <c r="L153" s="446"/>
      <c r="M153" s="446"/>
      <c r="N153" s="440"/>
      <c r="O153" s="440"/>
      <c r="P153" s="440"/>
      <c r="Q153" s="440"/>
      <c r="R153" s="440"/>
      <c r="S153" s="440"/>
      <c r="T153" s="440"/>
      <c r="U153" s="440"/>
      <c r="V153" s="440"/>
      <c r="W153" s="440"/>
      <c r="X153" s="440"/>
      <c r="Y153" s="440"/>
      <c r="Z153" s="440"/>
      <c r="AA153" s="440"/>
      <c r="AB153" s="440"/>
      <c r="AC153" s="440"/>
      <c r="AD153" s="440"/>
      <c r="AE153" s="636"/>
      <c r="AF153" s="440"/>
      <c r="AG153" s="440"/>
      <c r="AH153" s="440"/>
      <c r="AI153" s="440"/>
      <c r="AJ153" s="440"/>
      <c r="AK153" s="440"/>
    </row>
    <row r="154" spans="11:37">
      <c r="K154" s="446"/>
      <c r="L154" s="446"/>
      <c r="M154" s="446"/>
      <c r="N154" s="440"/>
      <c r="O154" s="440"/>
      <c r="P154" s="440"/>
      <c r="Q154" s="440"/>
      <c r="R154" s="440"/>
      <c r="S154" s="440"/>
      <c r="T154" s="440"/>
      <c r="U154" s="440"/>
      <c r="V154" s="440"/>
      <c r="W154" s="440"/>
      <c r="X154" s="440"/>
      <c r="Y154" s="440"/>
      <c r="Z154" s="440"/>
      <c r="AA154" s="440"/>
      <c r="AB154" s="440"/>
      <c r="AC154" s="440"/>
      <c r="AD154" s="440"/>
      <c r="AE154" s="636"/>
      <c r="AF154" s="440"/>
      <c r="AG154" s="440"/>
      <c r="AH154" s="440"/>
      <c r="AI154" s="440"/>
      <c r="AJ154" s="440"/>
      <c r="AK154" s="440"/>
    </row>
    <row r="155" spans="11:37">
      <c r="K155" s="446"/>
      <c r="L155" s="446"/>
      <c r="M155" s="446"/>
      <c r="N155" s="440"/>
      <c r="O155" s="440"/>
      <c r="P155" s="440"/>
      <c r="Q155" s="440"/>
      <c r="R155" s="440"/>
      <c r="S155" s="440"/>
      <c r="T155" s="440"/>
      <c r="U155" s="440"/>
      <c r="V155" s="440"/>
      <c r="W155" s="440"/>
      <c r="X155" s="440"/>
      <c r="Y155" s="440"/>
      <c r="Z155" s="440"/>
      <c r="AA155" s="440"/>
      <c r="AB155" s="440"/>
      <c r="AC155" s="440"/>
      <c r="AD155" s="440"/>
      <c r="AE155" s="636"/>
      <c r="AF155" s="440"/>
      <c r="AG155" s="440"/>
      <c r="AH155" s="440"/>
      <c r="AI155" s="440"/>
      <c r="AJ155" s="440"/>
      <c r="AK155" s="440"/>
    </row>
    <row r="156" spans="11:37">
      <c r="K156" s="446"/>
      <c r="L156" s="446"/>
      <c r="M156" s="446"/>
      <c r="N156" s="440"/>
      <c r="O156" s="440"/>
      <c r="P156" s="440"/>
      <c r="Q156" s="440"/>
      <c r="R156" s="440"/>
      <c r="S156" s="440"/>
      <c r="T156" s="440"/>
      <c r="U156" s="440"/>
      <c r="V156" s="440"/>
      <c r="W156" s="440"/>
      <c r="X156" s="440"/>
      <c r="Y156" s="440"/>
      <c r="Z156" s="440"/>
      <c r="AA156" s="440"/>
      <c r="AB156" s="440"/>
      <c r="AC156" s="440"/>
      <c r="AD156" s="440"/>
      <c r="AE156" s="636"/>
      <c r="AF156" s="440"/>
      <c r="AG156" s="440"/>
      <c r="AH156" s="440"/>
      <c r="AI156" s="440"/>
      <c r="AJ156" s="440"/>
      <c r="AK156" s="440"/>
    </row>
    <row r="157" spans="11:37">
      <c r="K157" s="446"/>
      <c r="L157" s="446"/>
      <c r="M157" s="446"/>
      <c r="N157" s="440"/>
      <c r="O157" s="440"/>
      <c r="P157" s="440"/>
      <c r="Q157" s="440"/>
      <c r="R157" s="440"/>
      <c r="S157" s="440"/>
      <c r="T157" s="440"/>
      <c r="U157" s="440"/>
      <c r="V157" s="440"/>
      <c r="W157" s="440"/>
      <c r="X157" s="440"/>
      <c r="Y157" s="440"/>
      <c r="Z157" s="440"/>
      <c r="AA157" s="440"/>
      <c r="AB157" s="440"/>
      <c r="AC157" s="440"/>
      <c r="AD157" s="440"/>
      <c r="AE157" s="636"/>
      <c r="AF157" s="440"/>
      <c r="AG157" s="440"/>
      <c r="AH157" s="440"/>
      <c r="AI157" s="440"/>
      <c r="AJ157" s="440"/>
      <c r="AK157" s="440"/>
    </row>
    <row r="158" spans="11:37">
      <c r="K158" s="446"/>
      <c r="L158" s="446"/>
      <c r="M158" s="446"/>
      <c r="N158" s="440"/>
      <c r="O158" s="440"/>
      <c r="P158" s="440"/>
      <c r="Q158" s="440"/>
      <c r="R158" s="440"/>
      <c r="S158" s="440"/>
      <c r="T158" s="440"/>
      <c r="U158" s="440"/>
      <c r="V158" s="440"/>
      <c r="W158" s="440"/>
      <c r="X158" s="440"/>
      <c r="Y158" s="440"/>
      <c r="Z158" s="440"/>
      <c r="AA158" s="440"/>
      <c r="AB158" s="440"/>
      <c r="AC158" s="440"/>
      <c r="AD158" s="440"/>
      <c r="AE158" s="636"/>
      <c r="AF158" s="440"/>
      <c r="AG158" s="440"/>
      <c r="AH158" s="440"/>
      <c r="AI158" s="440"/>
      <c r="AJ158" s="440"/>
      <c r="AK158" s="440"/>
    </row>
    <row r="159" spans="11:37">
      <c r="K159" s="446"/>
      <c r="L159" s="446"/>
      <c r="M159" s="446"/>
      <c r="N159" s="440"/>
      <c r="O159" s="440"/>
      <c r="P159" s="440"/>
      <c r="Q159" s="440"/>
      <c r="R159" s="440"/>
      <c r="S159" s="440"/>
      <c r="T159" s="440"/>
      <c r="U159" s="440"/>
      <c r="V159" s="440"/>
      <c r="W159" s="440"/>
      <c r="X159" s="440"/>
      <c r="Y159" s="440"/>
      <c r="Z159" s="440"/>
      <c r="AA159" s="440"/>
      <c r="AB159" s="440"/>
      <c r="AC159" s="440"/>
      <c r="AD159" s="440"/>
      <c r="AE159" s="636"/>
      <c r="AF159" s="440"/>
      <c r="AG159" s="440"/>
      <c r="AH159" s="440"/>
      <c r="AI159" s="440"/>
      <c r="AJ159" s="440"/>
      <c r="AK159" s="440"/>
    </row>
    <row r="160" spans="11:37">
      <c r="K160" s="446"/>
      <c r="L160" s="446"/>
      <c r="M160" s="446"/>
      <c r="N160" s="440"/>
      <c r="O160" s="440"/>
      <c r="P160" s="440"/>
      <c r="Q160" s="440"/>
      <c r="R160" s="440"/>
      <c r="S160" s="440"/>
      <c r="T160" s="440"/>
      <c r="U160" s="440"/>
      <c r="V160" s="440"/>
      <c r="W160" s="440"/>
      <c r="X160" s="440"/>
      <c r="Y160" s="440"/>
      <c r="Z160" s="440"/>
      <c r="AA160" s="440"/>
      <c r="AB160" s="440"/>
      <c r="AC160" s="440"/>
      <c r="AD160" s="440"/>
      <c r="AE160" s="636"/>
      <c r="AF160" s="440"/>
      <c r="AG160" s="440"/>
      <c r="AH160" s="440"/>
      <c r="AI160" s="440"/>
      <c r="AJ160" s="440"/>
      <c r="AK160" s="440"/>
    </row>
    <row r="161" spans="11:37">
      <c r="K161" s="446"/>
      <c r="L161" s="446"/>
      <c r="M161" s="446"/>
      <c r="N161" s="440"/>
      <c r="O161" s="440"/>
      <c r="P161" s="440"/>
      <c r="Q161" s="440"/>
      <c r="R161" s="440"/>
      <c r="S161" s="440"/>
      <c r="T161" s="440"/>
      <c r="U161" s="440"/>
      <c r="V161" s="440"/>
      <c r="W161" s="440"/>
      <c r="X161" s="440"/>
      <c r="Y161" s="440"/>
      <c r="Z161" s="440"/>
      <c r="AA161" s="440"/>
      <c r="AB161" s="440"/>
      <c r="AC161" s="440"/>
      <c r="AD161" s="440"/>
      <c r="AE161" s="636"/>
      <c r="AF161" s="440"/>
      <c r="AG161" s="440"/>
      <c r="AH161" s="440"/>
      <c r="AI161" s="440"/>
      <c r="AJ161" s="440"/>
      <c r="AK161" s="440"/>
    </row>
    <row r="162" spans="11:37">
      <c r="K162" s="446"/>
      <c r="L162" s="446"/>
      <c r="M162" s="446"/>
      <c r="N162" s="440"/>
      <c r="O162" s="440"/>
      <c r="P162" s="440"/>
      <c r="Q162" s="440"/>
      <c r="R162" s="440"/>
      <c r="S162" s="440"/>
      <c r="T162" s="440"/>
      <c r="U162" s="440"/>
      <c r="V162" s="440"/>
      <c r="W162" s="440"/>
      <c r="X162" s="440"/>
      <c r="Y162" s="440"/>
      <c r="Z162" s="440"/>
      <c r="AA162" s="440"/>
      <c r="AB162" s="440"/>
      <c r="AC162" s="440"/>
      <c r="AD162" s="440"/>
      <c r="AE162" s="636"/>
      <c r="AF162" s="440"/>
      <c r="AG162" s="440"/>
      <c r="AH162" s="440"/>
      <c r="AI162" s="440"/>
      <c r="AJ162" s="440"/>
      <c r="AK162" s="440"/>
    </row>
    <row r="163" spans="11:37">
      <c r="K163" s="446"/>
      <c r="L163" s="446"/>
      <c r="M163" s="446"/>
      <c r="N163" s="440"/>
      <c r="O163" s="440"/>
      <c r="P163" s="440"/>
      <c r="Q163" s="440"/>
      <c r="R163" s="440"/>
      <c r="S163" s="440"/>
      <c r="T163" s="440"/>
      <c r="U163" s="440"/>
      <c r="V163" s="440"/>
      <c r="W163" s="440"/>
      <c r="X163" s="440"/>
      <c r="Y163" s="440"/>
      <c r="Z163" s="440"/>
      <c r="AA163" s="440"/>
      <c r="AB163" s="440"/>
      <c r="AC163" s="440"/>
      <c r="AD163" s="440"/>
      <c r="AE163" s="636"/>
      <c r="AF163" s="440"/>
      <c r="AG163" s="440"/>
      <c r="AH163" s="440"/>
      <c r="AI163" s="440"/>
      <c r="AJ163" s="440"/>
      <c r="AK163" s="440"/>
    </row>
  </sheetData>
  <mergeCells count="5">
    <mergeCell ref="C9:D9"/>
    <mergeCell ref="F9:G9"/>
    <mergeCell ref="A1:J1"/>
    <mergeCell ref="C8:D8"/>
    <mergeCell ref="F8:G8"/>
  </mergeCells>
  <phoneticPr fontId="24" type="noConversion"/>
  <pageMargins left="0.75" right="0.5" top="0.72" bottom="0.84" header="0.5" footer="0.5"/>
  <pageSetup scale="65" orientation="portrait" r:id="rId1"/>
  <headerFooter scaleWithDoc="0" alignWithMargins="0">
    <oddHeader xml:space="preserve">&amp;RExhibit No. JH-3
Dockets UE-160228/UG-160229
Page &amp;P of &amp;N
Revised
</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62"/>
  <sheetViews>
    <sheetView topLeftCell="A46" zoomScaleNormal="100" workbookViewId="0">
      <selection activeCell="I59" sqref="I59"/>
    </sheetView>
  </sheetViews>
  <sheetFormatPr defaultColWidth="10.7265625" defaultRowHeight="13"/>
  <cols>
    <col min="1" max="1" width="8.26953125" style="226" customWidth="1"/>
    <col min="2" max="2" width="18.7265625" style="227" customWidth="1"/>
    <col min="3" max="4" width="10.7265625" style="223" customWidth="1"/>
    <col min="5" max="5" width="10.1796875" style="223" customWidth="1"/>
    <col min="6" max="6" width="14.7265625" style="228" customWidth="1"/>
    <col min="7" max="7" width="11.1796875" style="223" bestFit="1" customWidth="1"/>
    <col min="8" max="8" width="2.1796875" style="223" customWidth="1"/>
    <col min="9" max="9" width="14.1796875" style="223" customWidth="1"/>
    <col min="10" max="10" width="19.1796875" style="223" customWidth="1"/>
    <col min="11" max="16384" width="10.7265625" style="223"/>
  </cols>
  <sheetData>
    <row r="1" spans="1:10">
      <c r="A1" s="952" t="s">
        <v>114</v>
      </c>
      <c r="B1" s="952"/>
      <c r="C1" s="952"/>
      <c r="D1" s="952"/>
      <c r="E1" s="952"/>
      <c r="F1" s="952"/>
      <c r="G1" s="952"/>
      <c r="H1" s="952"/>
      <c r="I1" s="800"/>
      <c r="J1" s="800"/>
    </row>
    <row r="2" spans="1:10">
      <c r="A2" s="952" t="s">
        <v>129</v>
      </c>
      <c r="B2" s="952"/>
      <c r="C2" s="952"/>
      <c r="D2" s="952"/>
      <c r="E2" s="952"/>
      <c r="F2" s="952"/>
      <c r="G2" s="952"/>
      <c r="H2" s="952"/>
      <c r="I2" s="800"/>
      <c r="J2" s="800"/>
    </row>
    <row r="3" spans="1:10">
      <c r="A3" s="952" t="s">
        <v>244</v>
      </c>
      <c r="B3" s="952"/>
      <c r="C3" s="952"/>
      <c r="D3" s="952"/>
      <c r="E3" s="952"/>
      <c r="F3" s="952"/>
      <c r="G3" s="952"/>
      <c r="H3" s="952"/>
      <c r="I3" s="800"/>
      <c r="J3" s="800"/>
    </row>
    <row r="4" spans="1:10">
      <c r="A4" s="953" t="str">
        <f>'ROO INPUT'!A5:C5</f>
        <v>TWELVE MONTHS ENDED SEPTEMBER 30, 2015</v>
      </c>
      <c r="B4" s="953"/>
      <c r="C4" s="953"/>
      <c r="D4" s="953"/>
      <c r="E4" s="953"/>
      <c r="F4" s="953"/>
      <c r="G4" s="953"/>
      <c r="H4" s="953"/>
      <c r="I4" s="800"/>
      <c r="J4" s="800"/>
    </row>
    <row r="5" spans="1:10">
      <c r="A5" s="954" t="s">
        <v>117</v>
      </c>
      <c r="B5" s="954"/>
      <c r="C5" s="954"/>
      <c r="D5" s="954"/>
      <c r="E5" s="954"/>
      <c r="F5" s="954"/>
      <c r="G5" s="954"/>
      <c r="H5" s="954"/>
      <c r="I5" s="800"/>
      <c r="J5" s="800"/>
    </row>
    <row r="6" spans="1:10" ht="13.5" thickBot="1">
      <c r="A6" s="801"/>
      <c r="B6" s="802"/>
      <c r="C6" s="803"/>
      <c r="D6" s="804"/>
      <c r="E6" s="804"/>
      <c r="F6" s="804"/>
      <c r="G6" s="800"/>
      <c r="H6" s="800"/>
      <c r="I6" s="805" t="s">
        <v>215</v>
      </c>
      <c r="J6" s="800"/>
    </row>
    <row r="7" spans="1:10" ht="13.5" thickBot="1">
      <c r="A7" s="806"/>
      <c r="B7" s="807"/>
      <c r="C7" s="808"/>
      <c r="D7" s="808"/>
      <c r="E7" s="949" t="s">
        <v>129</v>
      </c>
      <c r="F7" s="950"/>
      <c r="G7" s="951"/>
      <c r="H7" s="800"/>
      <c r="I7" s="805" t="s">
        <v>216</v>
      </c>
      <c r="J7" s="800"/>
    </row>
    <row r="8" spans="1:10">
      <c r="A8" s="806"/>
      <c r="B8" s="807"/>
      <c r="C8" s="808"/>
      <c r="D8" s="808"/>
      <c r="E8" s="806">
        <f>'ADJ DETAIL INPUT'!U10</f>
        <v>2.1299999999999972</v>
      </c>
      <c r="F8" s="809"/>
      <c r="G8" s="809"/>
      <c r="H8" s="800"/>
      <c r="I8" s="805"/>
      <c r="J8" s="800"/>
    </row>
    <row r="9" spans="1:10">
      <c r="A9" s="806"/>
      <c r="B9" s="807"/>
      <c r="C9" s="808"/>
      <c r="D9" s="808"/>
      <c r="E9" s="810" t="s">
        <v>21</v>
      </c>
      <c r="F9" s="805" t="s">
        <v>435</v>
      </c>
      <c r="G9" s="805" t="s">
        <v>436</v>
      </c>
      <c r="H9" s="800"/>
      <c r="I9" s="805" t="s">
        <v>217</v>
      </c>
      <c r="J9" s="800"/>
    </row>
    <row r="10" spans="1:10">
      <c r="A10" s="806"/>
      <c r="B10" s="811" t="s">
        <v>118</v>
      </c>
      <c r="C10" s="808"/>
      <c r="D10" s="808"/>
      <c r="E10" s="812" t="s">
        <v>218</v>
      </c>
      <c r="F10" s="813" t="s">
        <v>119</v>
      </c>
      <c r="G10" s="813" t="s">
        <v>219</v>
      </c>
      <c r="H10" s="800"/>
      <c r="I10" s="813" t="str">
        <f>F10</f>
        <v>Adjustments</v>
      </c>
      <c r="J10" s="800"/>
    </row>
    <row r="11" spans="1:10">
      <c r="A11" s="806">
        <f>'ADJ SUMMARY'!A8</f>
        <v>1</v>
      </c>
      <c r="B11" s="807" t="str">
        <f>'ADJ SUMMARY'!C8</f>
        <v>Per Results Report</v>
      </c>
      <c r="C11" s="808"/>
      <c r="D11" s="808"/>
      <c r="E11" s="814">
        <f>'ADJ SUMMARY'!E8</f>
        <v>259389</v>
      </c>
      <c r="F11" s="814"/>
      <c r="G11" s="815">
        <f>SUM(E11:F11)</f>
        <v>259389</v>
      </c>
      <c r="H11" s="815"/>
      <c r="I11" s="815">
        <f>ROUND(E11*$E$54*-$E$61,0)-(E58*-E61)</f>
        <v>-85</v>
      </c>
      <c r="J11" s="800"/>
    </row>
    <row r="12" spans="1:10">
      <c r="A12" s="806">
        <f>'ADJ SUMMARY'!A9</f>
        <v>1.01</v>
      </c>
      <c r="B12" s="807" t="str">
        <f>'ADJ SUMMARY'!C9</f>
        <v>Deferred FIT Rate Base</v>
      </c>
      <c r="C12" s="808"/>
      <c r="D12" s="808"/>
      <c r="E12" s="815"/>
      <c r="F12" s="814">
        <f>'ADJ SUMMARY'!E9</f>
        <v>50</v>
      </c>
      <c r="G12" s="815">
        <f>SUM(E12:F12)</f>
        <v>50</v>
      </c>
      <c r="H12" s="815"/>
      <c r="I12" s="815">
        <f t="shared" ref="I12:I48" si="0">ROUND(F12*$E$54*-$E$61,0)</f>
        <v>0</v>
      </c>
      <c r="J12" s="800"/>
    </row>
    <row r="13" spans="1:10">
      <c r="A13" s="806">
        <f>'ADJ SUMMARY'!A10</f>
        <v>1.02</v>
      </c>
      <c r="B13" s="807" t="str">
        <f>'ADJ SUMMARY'!C10</f>
        <v>Deferred Debits and Credits</v>
      </c>
      <c r="C13" s="808"/>
      <c r="D13" s="808"/>
      <c r="E13" s="815"/>
      <c r="F13" s="814">
        <f>'ADJ SUMMARY'!E10</f>
        <v>0</v>
      </c>
      <c r="G13" s="815">
        <f t="shared" ref="G13:G37" si="1">SUM(E13:F13)</f>
        <v>0</v>
      </c>
      <c r="H13" s="815"/>
      <c r="I13" s="815">
        <f t="shared" si="0"/>
        <v>0</v>
      </c>
      <c r="J13" s="800"/>
    </row>
    <row r="14" spans="1:10">
      <c r="A14" s="806">
        <f>'ADJ SUMMARY'!A11</f>
        <v>1.03</v>
      </c>
      <c r="B14" s="807" t="str">
        <f>'ADJ SUMMARY'!C11</f>
        <v>Working Capital</v>
      </c>
      <c r="C14" s="808"/>
      <c r="D14" s="808"/>
      <c r="E14" s="815"/>
      <c r="F14" s="814">
        <f>'ADJ SUMMARY'!E11</f>
        <v>2828</v>
      </c>
      <c r="G14" s="815">
        <f t="shared" si="1"/>
        <v>2828</v>
      </c>
      <c r="H14" s="815"/>
      <c r="I14" s="815">
        <f t="shared" si="0"/>
        <v>-28</v>
      </c>
      <c r="J14" s="800"/>
    </row>
    <row r="15" spans="1:10">
      <c r="A15" s="806">
        <f>'ADJ SUMMARY'!A12</f>
        <v>2.0099999999999998</v>
      </c>
      <c r="B15" s="807" t="str">
        <f>'ADJ SUMMARY'!C12</f>
        <v>Eliminate B &amp; O Taxes</v>
      </c>
      <c r="C15" s="808"/>
      <c r="D15" s="808"/>
      <c r="E15" s="815"/>
      <c r="F15" s="814">
        <f>'ADJ SUMMARY'!E12</f>
        <v>0</v>
      </c>
      <c r="G15" s="815">
        <f t="shared" si="1"/>
        <v>0</v>
      </c>
      <c r="H15" s="815"/>
      <c r="I15" s="815">
        <f t="shared" si="0"/>
        <v>0</v>
      </c>
      <c r="J15" s="800"/>
    </row>
    <row r="16" spans="1:10">
      <c r="A16" s="806">
        <f>'ADJ SUMMARY'!A13</f>
        <v>2.0199999999999996</v>
      </c>
      <c r="B16" s="807" t="str">
        <f>'ADJ SUMMARY'!C13</f>
        <v>Restate Property Tax</v>
      </c>
      <c r="C16" s="808"/>
      <c r="D16" s="808"/>
      <c r="E16" s="815"/>
      <c r="F16" s="814">
        <f>'ADJ SUMMARY'!E13</f>
        <v>0</v>
      </c>
      <c r="G16" s="815">
        <f t="shared" si="1"/>
        <v>0</v>
      </c>
      <c r="H16" s="815"/>
      <c r="I16" s="815">
        <f t="shared" si="0"/>
        <v>0</v>
      </c>
      <c r="J16" s="800"/>
    </row>
    <row r="17" spans="1:10">
      <c r="A17" s="806">
        <f>'ADJ SUMMARY'!A14</f>
        <v>2.0299999999999994</v>
      </c>
      <c r="B17" s="807" t="str">
        <f>'ADJ SUMMARY'!C14</f>
        <v>Uncollectible Expense</v>
      </c>
      <c r="C17" s="808"/>
      <c r="D17" s="808"/>
      <c r="E17" s="815"/>
      <c r="F17" s="814">
        <f>'ADJ SUMMARY'!E14</f>
        <v>0</v>
      </c>
      <c r="G17" s="815">
        <f t="shared" si="1"/>
        <v>0</v>
      </c>
      <c r="H17" s="815"/>
      <c r="I17" s="815">
        <f t="shared" si="0"/>
        <v>0</v>
      </c>
      <c r="J17" s="800"/>
    </row>
    <row r="18" spans="1:10">
      <c r="A18" s="806">
        <f>'ADJ SUMMARY'!A15</f>
        <v>2.0399999999999991</v>
      </c>
      <c r="B18" s="807" t="str">
        <f>'ADJ SUMMARY'!C15</f>
        <v>Regulatory Expense</v>
      </c>
      <c r="C18" s="808"/>
      <c r="D18" s="808"/>
      <c r="E18" s="815"/>
      <c r="F18" s="814">
        <f>'ADJ SUMMARY'!E15</f>
        <v>0</v>
      </c>
      <c r="G18" s="815">
        <f t="shared" si="1"/>
        <v>0</v>
      </c>
      <c r="H18" s="815"/>
      <c r="I18" s="815">
        <f t="shared" si="0"/>
        <v>0</v>
      </c>
      <c r="J18" s="800"/>
    </row>
    <row r="19" spans="1:10">
      <c r="A19" s="806">
        <f>'ADJ SUMMARY'!A16</f>
        <v>2.0499999999999989</v>
      </c>
      <c r="B19" s="807" t="str">
        <f>'ADJ SUMMARY'!C16</f>
        <v>Injuries and Damages</v>
      </c>
      <c r="C19" s="808"/>
      <c r="D19" s="808"/>
      <c r="E19" s="815"/>
      <c r="F19" s="814">
        <f>'ADJ SUMMARY'!E16</f>
        <v>0</v>
      </c>
      <c r="G19" s="815">
        <f t="shared" si="1"/>
        <v>0</v>
      </c>
      <c r="H19" s="815"/>
      <c r="I19" s="815">
        <f t="shared" si="0"/>
        <v>0</v>
      </c>
      <c r="J19" s="800"/>
    </row>
    <row r="20" spans="1:10">
      <c r="A20" s="806">
        <f>'ADJ SUMMARY'!A17</f>
        <v>2.0599999999999987</v>
      </c>
      <c r="B20" s="807" t="str">
        <f>'ADJ SUMMARY'!C17</f>
        <v>FIT / DFIT Expense</v>
      </c>
      <c r="C20" s="808"/>
      <c r="D20" s="808"/>
      <c r="E20" s="815"/>
      <c r="F20" s="814">
        <f>'ADJ SUMMARY'!E17</f>
        <v>0</v>
      </c>
      <c r="G20" s="815">
        <f t="shared" si="1"/>
        <v>0</v>
      </c>
      <c r="H20" s="815"/>
      <c r="I20" s="815">
        <f t="shared" si="0"/>
        <v>0</v>
      </c>
      <c r="J20" s="800"/>
    </row>
    <row r="21" spans="1:10">
      <c r="A21" s="806">
        <f>'ADJ SUMMARY'!A18</f>
        <v>2.0699999999999985</v>
      </c>
      <c r="B21" s="807" t="str">
        <f>'ADJ SUMMARY'!C18</f>
        <v>Office Space Charges to Subs</v>
      </c>
      <c r="C21" s="808"/>
      <c r="D21" s="808"/>
      <c r="E21" s="815"/>
      <c r="F21" s="814">
        <f>'ADJ SUMMARY'!E18</f>
        <v>0</v>
      </c>
      <c r="G21" s="815">
        <f t="shared" si="1"/>
        <v>0</v>
      </c>
      <c r="H21" s="815"/>
      <c r="I21" s="815">
        <f t="shared" si="0"/>
        <v>0</v>
      </c>
      <c r="J21" s="800"/>
    </row>
    <row r="22" spans="1:10">
      <c r="A22" s="806">
        <f>'ADJ SUMMARY'!A19</f>
        <v>2.0799999999999983</v>
      </c>
      <c r="B22" s="807" t="str">
        <f>'ADJ SUMMARY'!C19</f>
        <v>Restate Excise Taxes</v>
      </c>
      <c r="C22" s="808"/>
      <c r="D22" s="808"/>
      <c r="E22" s="815"/>
      <c r="F22" s="814">
        <f>'ADJ SUMMARY'!E19</f>
        <v>0</v>
      </c>
      <c r="G22" s="815">
        <f t="shared" si="1"/>
        <v>0</v>
      </c>
      <c r="H22" s="815"/>
      <c r="I22" s="815">
        <f t="shared" si="0"/>
        <v>0</v>
      </c>
      <c r="J22" s="800"/>
    </row>
    <row r="23" spans="1:10">
      <c r="A23" s="806">
        <f>'ADJ SUMMARY'!A20</f>
        <v>2.0899999999999981</v>
      </c>
      <c r="B23" s="807" t="str">
        <f>'ADJ SUMMARY'!C20</f>
        <v>Net Gains/Losses</v>
      </c>
      <c r="C23" s="808"/>
      <c r="D23" s="808"/>
      <c r="E23" s="815"/>
      <c r="F23" s="814">
        <f>'ADJ SUMMARY'!E20</f>
        <v>0</v>
      </c>
      <c r="G23" s="815">
        <f t="shared" si="1"/>
        <v>0</v>
      </c>
      <c r="H23" s="815"/>
      <c r="I23" s="815">
        <f t="shared" si="0"/>
        <v>0</v>
      </c>
      <c r="J23" s="800"/>
    </row>
    <row r="24" spans="1:10">
      <c r="A24" s="806">
        <f>'ADJ SUMMARY'!A21</f>
        <v>2.0999999999999979</v>
      </c>
      <c r="B24" s="807" t="str">
        <f>'ADJ SUMMARY'!C21</f>
        <v>Weather Normalization / Gas Cost Adjust</v>
      </c>
      <c r="C24" s="808"/>
      <c r="D24" s="808"/>
      <c r="E24" s="815"/>
      <c r="F24" s="814">
        <f>'ADJ SUMMARY'!E21</f>
        <v>0</v>
      </c>
      <c r="G24" s="815">
        <f t="shared" si="1"/>
        <v>0</v>
      </c>
      <c r="H24" s="815"/>
      <c r="I24" s="815">
        <f t="shared" si="0"/>
        <v>0</v>
      </c>
      <c r="J24" s="800"/>
    </row>
    <row r="25" spans="1:10">
      <c r="A25" s="806">
        <f>'ADJ SUMMARY'!A22</f>
        <v>2.1099999999999977</v>
      </c>
      <c r="B25" s="807" t="str">
        <f>'ADJ SUMMARY'!C22</f>
        <v>Eliminate Adder Schedules</v>
      </c>
      <c r="C25" s="808"/>
      <c r="D25" s="808"/>
      <c r="E25" s="815"/>
      <c r="F25" s="814">
        <f>'ADJ SUMMARY'!E22</f>
        <v>0</v>
      </c>
      <c r="G25" s="815">
        <f t="shared" si="1"/>
        <v>0</v>
      </c>
      <c r="H25" s="815"/>
      <c r="I25" s="815">
        <f t="shared" si="0"/>
        <v>0</v>
      </c>
      <c r="J25" s="800"/>
    </row>
    <row r="26" spans="1:10">
      <c r="A26" s="806">
        <f>'ADJ SUMMARY'!A23</f>
        <v>2.1199999999999974</v>
      </c>
      <c r="B26" s="807" t="str">
        <f>'ADJ SUMMARY'!C23</f>
        <v>Misc Restating Adjustments</v>
      </c>
      <c r="C26" s="808"/>
      <c r="D26" s="808"/>
      <c r="E26" s="815"/>
      <c r="F26" s="814">
        <f>'ADJ SUMMARY'!E23</f>
        <v>0</v>
      </c>
      <c r="G26" s="815">
        <f t="shared" si="1"/>
        <v>0</v>
      </c>
      <c r="H26" s="815"/>
      <c r="I26" s="815">
        <f t="shared" si="0"/>
        <v>0</v>
      </c>
      <c r="J26" s="800"/>
    </row>
    <row r="27" spans="1:10">
      <c r="A27" s="806">
        <f>'ADJ SUMMARY'!A24</f>
        <v>2.1299999999999972</v>
      </c>
      <c r="B27" s="807" t="str">
        <f>'ADJ SUMMARY'!C24</f>
        <v>Restate Debt Interest</v>
      </c>
      <c r="C27" s="808"/>
      <c r="D27" s="808"/>
      <c r="E27" s="815"/>
      <c r="F27" s="814">
        <f>'ADJ SUMMARY'!E24</f>
        <v>0</v>
      </c>
      <c r="G27" s="815">
        <f>SUM(E27:F27)</f>
        <v>0</v>
      </c>
      <c r="H27" s="815"/>
      <c r="I27" s="815">
        <f t="shared" si="0"/>
        <v>0</v>
      </c>
      <c r="J27" s="800"/>
    </row>
    <row r="28" spans="1:10">
      <c r="A28" s="806">
        <f>'ADJ SUMMARY'!A25</f>
        <v>2.139999999999997</v>
      </c>
      <c r="B28" s="807" t="str">
        <f>'ADJ SUMMARY'!C25</f>
        <v>Restating Incentive Adjustment</v>
      </c>
      <c r="C28" s="808"/>
      <c r="D28" s="808"/>
      <c r="E28" s="815"/>
      <c r="F28" s="814">
        <f>'ADJ SUMMARY'!E25</f>
        <v>0</v>
      </c>
      <c r="G28" s="815">
        <f t="shared" si="1"/>
        <v>0</v>
      </c>
      <c r="H28" s="815"/>
      <c r="I28" s="815">
        <f t="shared" si="0"/>
        <v>0</v>
      </c>
      <c r="J28" s="800"/>
    </row>
    <row r="29" spans="1:10">
      <c r="A29" s="806">
        <f>'ADJ SUMMARY'!A26</f>
        <v>2.1499999999999968</v>
      </c>
      <c r="B29" s="807" t="str">
        <f>'ADJ SUMMARY'!C26</f>
        <v>Project Compass Deferral</v>
      </c>
      <c r="C29" s="808"/>
      <c r="D29" s="808"/>
      <c r="E29" s="815"/>
      <c r="F29" s="814">
        <f>'ADJ SUMMARY'!E26</f>
        <v>0</v>
      </c>
      <c r="G29" s="815">
        <f t="shared" si="1"/>
        <v>0</v>
      </c>
      <c r="H29" s="815"/>
      <c r="I29" s="815">
        <f t="shared" si="0"/>
        <v>0</v>
      </c>
      <c r="J29" s="800"/>
    </row>
    <row r="30" spans="1:10">
      <c r="A30" s="806">
        <f>'ADJ SUMMARY'!A30</f>
        <v>3</v>
      </c>
      <c r="B30" s="807" t="str">
        <f>'ADJ SUMMARY'!C30</f>
        <v>Pro Forma Labor Non-Exec</v>
      </c>
      <c r="C30" s="808"/>
      <c r="D30" s="808"/>
      <c r="E30" s="815"/>
      <c r="F30" s="814">
        <f>'ADJ SUMMARY'!E30</f>
        <v>0</v>
      </c>
      <c r="G30" s="815">
        <f t="shared" si="1"/>
        <v>0</v>
      </c>
      <c r="H30" s="815"/>
      <c r="I30" s="815">
        <f t="shared" si="0"/>
        <v>0</v>
      </c>
      <c r="J30" s="800"/>
    </row>
    <row r="31" spans="1:10">
      <c r="A31" s="806">
        <f>'ADJ SUMMARY'!A31</f>
        <v>3.01</v>
      </c>
      <c r="B31" s="807" t="str">
        <f>'ADJ SUMMARY'!C31</f>
        <v>Pro Forma Labor Exec</v>
      </c>
      <c r="C31" s="808"/>
      <c r="D31" s="808"/>
      <c r="E31" s="815"/>
      <c r="F31" s="814">
        <f>'ADJ SUMMARY'!E31</f>
        <v>0</v>
      </c>
      <c r="G31" s="815">
        <f t="shared" si="1"/>
        <v>0</v>
      </c>
      <c r="H31" s="815"/>
      <c r="I31" s="815">
        <f t="shared" si="0"/>
        <v>0</v>
      </c>
      <c r="J31" s="800"/>
    </row>
    <row r="32" spans="1:10">
      <c r="A32" s="806">
        <f>'ADJ SUMMARY'!A32</f>
        <v>3.0199999999999996</v>
      </c>
      <c r="B32" s="807" t="str">
        <f>'ADJ SUMMARY'!C32</f>
        <v>Pro Forma Employee Benefits</v>
      </c>
      <c r="C32" s="808"/>
      <c r="D32" s="808"/>
      <c r="E32" s="815"/>
      <c r="F32" s="814">
        <f>'ADJ SUMMARY'!E32</f>
        <v>0</v>
      </c>
      <c r="G32" s="815">
        <f t="shared" si="1"/>
        <v>0</v>
      </c>
      <c r="H32" s="815"/>
      <c r="I32" s="815">
        <f t="shared" si="0"/>
        <v>0</v>
      </c>
      <c r="J32" s="800"/>
    </row>
    <row r="33" spans="1:10">
      <c r="A33" s="806">
        <f>'ADJ SUMMARY'!A33</f>
        <v>3.0299999999999994</v>
      </c>
      <c r="B33" s="807" t="str">
        <f>'ADJ SUMMARY'!C33</f>
        <v>Pro Forma Pipeline Safety Labor</v>
      </c>
      <c r="C33" s="808"/>
      <c r="D33" s="808"/>
      <c r="E33" s="815"/>
      <c r="F33" s="814">
        <f>'ADJ SUMMARY'!E33</f>
        <v>0</v>
      </c>
      <c r="G33" s="815">
        <f>SUM(E33:F33)</f>
        <v>0</v>
      </c>
      <c r="H33" s="815"/>
      <c r="I33" s="815">
        <f t="shared" si="0"/>
        <v>0</v>
      </c>
      <c r="J33" s="800"/>
    </row>
    <row r="34" spans="1:10">
      <c r="A34" s="806">
        <f>'ADJ SUMMARY'!A34</f>
        <v>3.0399999999999991</v>
      </c>
      <c r="B34" s="807" t="str">
        <f>'ADJ SUMMARY'!C34</f>
        <v>Pro Forma Property Tax</v>
      </c>
      <c r="C34" s="808"/>
      <c r="D34" s="808"/>
      <c r="E34" s="815"/>
      <c r="F34" s="814">
        <f>'ADJ SUMMARY'!E34</f>
        <v>0</v>
      </c>
      <c r="G34" s="815">
        <f t="shared" si="1"/>
        <v>0</v>
      </c>
      <c r="H34" s="815"/>
      <c r="I34" s="815">
        <f t="shared" si="0"/>
        <v>0</v>
      </c>
      <c r="J34" s="800"/>
    </row>
    <row r="35" spans="1:10">
      <c r="A35" s="806">
        <f>'ADJ SUMMARY'!A35</f>
        <v>3.0499999999999989</v>
      </c>
      <c r="B35" s="807" t="str">
        <f>'ADJ SUMMARY'!C35</f>
        <v>Pro Forma Revenue Normalization</v>
      </c>
      <c r="C35" s="808"/>
      <c r="D35" s="808"/>
      <c r="E35" s="815"/>
      <c r="F35" s="814">
        <f>'ADJ SUMMARY'!E35</f>
        <v>0</v>
      </c>
      <c r="G35" s="815">
        <f t="shared" si="1"/>
        <v>0</v>
      </c>
      <c r="H35" s="815"/>
      <c r="I35" s="815">
        <f t="shared" si="0"/>
        <v>0</v>
      </c>
      <c r="J35" s="800"/>
    </row>
    <row r="36" spans="1:10">
      <c r="A36" s="806">
        <f>'ADJ SUMMARY'!A36</f>
        <v>3.0599999999999987</v>
      </c>
      <c r="B36" s="807" t="str">
        <f>'ADJ SUMMARY'!C36</f>
        <v>Pro Forma Atmospheric Testing</v>
      </c>
      <c r="C36" s="808"/>
      <c r="D36" s="808"/>
      <c r="E36" s="815"/>
      <c r="F36" s="814">
        <f>'ADJ SUMMARY'!E36</f>
        <v>0</v>
      </c>
      <c r="G36" s="815">
        <f>SUM(E36:F36)</f>
        <v>0</v>
      </c>
      <c r="H36" s="815"/>
      <c r="I36" s="815">
        <f t="shared" si="0"/>
        <v>0</v>
      </c>
      <c r="J36" s="800"/>
    </row>
    <row r="37" spans="1:10">
      <c r="A37" s="806">
        <f>'ADJ SUMMARY'!A37</f>
        <v>3.0699999999999985</v>
      </c>
      <c r="B37" s="807" t="str">
        <f>'ADJ SUMMARY'!C37</f>
        <v>Pro Forma Regulatory Amortization</v>
      </c>
      <c r="C37" s="808"/>
      <c r="D37" s="808"/>
      <c r="E37" s="815"/>
      <c r="F37" s="814">
        <f>'ADJ SUMMARY'!E37</f>
        <v>0</v>
      </c>
      <c r="G37" s="815">
        <f t="shared" si="1"/>
        <v>0</v>
      </c>
      <c r="H37" s="815"/>
      <c r="I37" s="815">
        <f t="shared" si="0"/>
        <v>0</v>
      </c>
      <c r="J37" s="800"/>
    </row>
    <row r="38" spans="1:10">
      <c r="A38" s="806">
        <f>'ADJ SUMMARY'!A38</f>
        <v>3.0799999999999983</v>
      </c>
      <c r="B38" s="807" t="str">
        <f>'ADJ SUMMARY'!C38</f>
        <v>Pro Forma Capital Add Dec 2015 AMA</v>
      </c>
      <c r="C38" s="808"/>
      <c r="D38" s="808"/>
      <c r="E38" s="815"/>
      <c r="F38" s="814">
        <f>'ADJ SUMMARY'!E38</f>
        <v>9640</v>
      </c>
      <c r="G38" s="815">
        <f t="shared" ref="G38:G41" si="2">SUM(E38:F38)</f>
        <v>9640</v>
      </c>
      <c r="H38" s="815"/>
      <c r="I38" s="815">
        <f t="shared" si="0"/>
        <v>-96</v>
      </c>
      <c r="J38" s="800"/>
    </row>
    <row r="39" spans="1:10">
      <c r="A39" s="806">
        <f>'ADJ SUMMARY'!A39</f>
        <v>3.0899999999999981</v>
      </c>
      <c r="B39" s="807" t="str">
        <f>'ADJ SUMMARY'!C39</f>
        <v>Pro Forma 2016 Limited Capital Adds</v>
      </c>
      <c r="C39" s="808"/>
      <c r="D39" s="808"/>
      <c r="E39" s="815"/>
      <c r="F39" s="814">
        <f>'ADJ SUMMARY'!E39</f>
        <v>7488</v>
      </c>
      <c r="G39" s="815">
        <f t="shared" si="2"/>
        <v>7488</v>
      </c>
      <c r="H39" s="815"/>
      <c r="I39" s="815">
        <f t="shared" si="0"/>
        <v>-74</v>
      </c>
      <c r="J39" s="800"/>
    </row>
    <row r="40" spans="1:10">
      <c r="A40" s="806">
        <f>'ADJ SUMMARY'!A40</f>
        <v>3.0999999999999979</v>
      </c>
      <c r="B40" s="807" t="str">
        <f>'ADJ SUMMARY'!C40</f>
        <v>Pro Forma O&amp;M Offsets</v>
      </c>
      <c r="C40" s="808"/>
      <c r="D40" s="808"/>
      <c r="E40" s="815"/>
      <c r="F40" s="814">
        <f>'ADJ SUMMARY'!E40</f>
        <v>0</v>
      </c>
      <c r="G40" s="815">
        <f t="shared" si="2"/>
        <v>0</v>
      </c>
      <c r="H40" s="815"/>
      <c r="I40" s="815">
        <f t="shared" si="0"/>
        <v>0</v>
      </c>
      <c r="J40" s="800"/>
    </row>
    <row r="41" spans="1:10">
      <c r="A41" s="806">
        <f>'ADJ SUMMARY'!A43</f>
        <v>4</v>
      </c>
      <c r="B41" s="807" t="str">
        <f>'ADJ SUMMARY'!C43</f>
        <v>Cross Check Labor Non-Exec</v>
      </c>
      <c r="C41" s="808"/>
      <c r="D41" s="808"/>
      <c r="E41" s="815"/>
      <c r="F41" s="814">
        <f>'ADJ SUMMARY'!E43</f>
        <v>0</v>
      </c>
      <c r="G41" s="815">
        <f t="shared" si="2"/>
        <v>0</v>
      </c>
      <c r="H41" s="815"/>
      <c r="I41" s="815">
        <f t="shared" si="0"/>
        <v>0</v>
      </c>
      <c r="J41" s="800"/>
    </row>
    <row r="42" spans="1:10">
      <c r="A42" s="806">
        <f>'ADJ SUMMARY'!A44</f>
        <v>4.01</v>
      </c>
      <c r="B42" s="807" t="str">
        <f>'ADJ SUMMARY'!C44</f>
        <v>Cross Check Capital Add 2016 AMA</v>
      </c>
      <c r="C42" s="808"/>
      <c r="D42" s="808"/>
      <c r="E42" s="815"/>
      <c r="F42" s="814">
        <v>0</v>
      </c>
      <c r="G42" s="815">
        <v>0</v>
      </c>
      <c r="H42" s="815"/>
      <c r="I42" s="815">
        <f t="shared" si="0"/>
        <v>0</v>
      </c>
      <c r="J42" s="800"/>
    </row>
    <row r="43" spans="1:10">
      <c r="A43" s="806">
        <f>'ADJ SUMMARY'!A45</f>
        <v>4.0199999999999996</v>
      </c>
      <c r="B43" s="807" t="str">
        <f>'ADJ SUMMARY'!C45</f>
        <v>Cross Check Capital Add 2017 AMA</v>
      </c>
      <c r="C43" s="808"/>
      <c r="D43" s="808"/>
      <c r="E43" s="815"/>
      <c r="F43" s="814">
        <v>0</v>
      </c>
      <c r="G43" s="815">
        <v>0</v>
      </c>
      <c r="H43" s="815"/>
      <c r="I43" s="815">
        <f t="shared" si="0"/>
        <v>0</v>
      </c>
      <c r="J43" s="800"/>
    </row>
    <row r="44" spans="1:10">
      <c r="A44" s="806">
        <f>'ADJ SUMMARY'!A46</f>
        <v>4.0299999999999994</v>
      </c>
      <c r="B44" s="807" t="str">
        <f>'ADJ SUMMARY'!C46</f>
        <v>Cross Check 2017 AMI Capital &amp; Expense</v>
      </c>
      <c r="C44" s="808"/>
      <c r="D44" s="808"/>
      <c r="E44" s="815"/>
      <c r="F44" s="814">
        <v>0</v>
      </c>
      <c r="G44" s="815">
        <v>0</v>
      </c>
      <c r="H44" s="815"/>
      <c r="I44" s="815">
        <f t="shared" si="0"/>
        <v>0</v>
      </c>
      <c r="J44" s="800"/>
    </row>
    <row r="45" spans="1:10">
      <c r="A45" s="806">
        <f>'ADJ SUMMARY'!A47</f>
        <v>4.0399999999999991</v>
      </c>
      <c r="B45" s="807" t="str">
        <f>'ADJ SUMMARY'!C47</f>
        <v>Cross Check Information Tech/Serv Exp</v>
      </c>
      <c r="C45" s="808"/>
      <c r="D45" s="808"/>
      <c r="E45" s="815"/>
      <c r="F45" s="814">
        <v>0</v>
      </c>
      <c r="G45" s="815">
        <v>0</v>
      </c>
      <c r="H45" s="815"/>
      <c r="I45" s="815">
        <f t="shared" si="0"/>
        <v>0</v>
      </c>
      <c r="J45" s="800"/>
    </row>
    <row r="46" spans="1:10">
      <c r="A46" s="806">
        <f>'ADJ SUMMARY'!A48</f>
        <v>4.0499999999999989</v>
      </c>
      <c r="B46" s="807" t="str">
        <f>'ADJ SUMMARY'!C48</f>
        <v>Cross Check Insurance Expense</v>
      </c>
      <c r="C46" s="808"/>
      <c r="D46" s="808"/>
      <c r="E46" s="815"/>
      <c r="F46" s="814">
        <v>0</v>
      </c>
      <c r="G46" s="815">
        <v>0</v>
      </c>
      <c r="H46" s="815"/>
      <c r="I46" s="815">
        <f t="shared" si="0"/>
        <v>0</v>
      </c>
      <c r="J46" s="800"/>
    </row>
    <row r="47" spans="1:10">
      <c r="A47" s="806">
        <f>'ADJ SUMMARY'!A49</f>
        <v>4.0599999999999987</v>
      </c>
      <c r="B47" s="807" t="str">
        <f>'ADJ SUMMARY'!C49</f>
        <v>Cross Check Property Tax Exp</v>
      </c>
      <c r="C47" s="808"/>
      <c r="D47" s="808"/>
      <c r="E47" s="815"/>
      <c r="F47" s="814">
        <v>0</v>
      </c>
      <c r="G47" s="815">
        <v>0</v>
      </c>
      <c r="H47" s="815"/>
      <c r="I47" s="815">
        <f t="shared" si="0"/>
        <v>0</v>
      </c>
      <c r="J47" s="800"/>
    </row>
    <row r="48" spans="1:10">
      <c r="A48" s="806">
        <f>'ADJ SUMMARY'!A50</f>
        <v>4.0699999999999985</v>
      </c>
      <c r="B48" s="807" t="str">
        <f>'ADJ SUMMARY'!C50</f>
        <v>Reconcile 2017 Cross Check to Attrition</v>
      </c>
      <c r="C48" s="808"/>
      <c r="D48" s="808"/>
      <c r="E48" s="815"/>
      <c r="F48" s="814">
        <v>0</v>
      </c>
      <c r="G48" s="815">
        <v>0</v>
      </c>
      <c r="H48" s="815"/>
      <c r="I48" s="815">
        <f t="shared" si="0"/>
        <v>0</v>
      </c>
      <c r="J48" s="800"/>
    </row>
    <row r="49" spans="1:10">
      <c r="A49" s="806"/>
      <c r="B49" s="816"/>
      <c r="C49" s="808"/>
      <c r="D49" s="808"/>
      <c r="E49" s="817"/>
      <c r="F49" s="818"/>
      <c r="G49" s="817"/>
      <c r="H49" s="817"/>
      <c r="I49" s="817"/>
      <c r="J49" s="800"/>
    </row>
    <row r="50" spans="1:10">
      <c r="A50" s="806"/>
      <c r="B50" s="816"/>
      <c r="C50" s="808"/>
      <c r="D50" s="808"/>
      <c r="E50" s="819">
        <f>SUM(E11:E49)</f>
        <v>259389</v>
      </c>
      <c r="F50" s="819">
        <f>SUM(F11:F49)</f>
        <v>20006</v>
      </c>
      <c r="G50" s="819">
        <f>SUM(G11:G49)</f>
        <v>279395</v>
      </c>
      <c r="H50" s="819"/>
      <c r="I50" s="819"/>
      <c r="J50" s="800"/>
    </row>
    <row r="51" spans="1:10">
      <c r="A51" s="806"/>
      <c r="B51" s="816"/>
      <c r="C51" s="808"/>
      <c r="D51" s="808"/>
      <c r="E51" s="819"/>
      <c r="F51" s="820"/>
      <c r="G51" s="819"/>
      <c r="H51" s="815"/>
      <c r="I51" s="815"/>
      <c r="J51" s="800"/>
    </row>
    <row r="52" spans="1:10">
      <c r="A52" s="806"/>
      <c r="B52" s="816"/>
      <c r="C52" s="808"/>
      <c r="D52" s="808"/>
      <c r="E52" s="819"/>
      <c r="F52" s="820"/>
      <c r="G52" s="819"/>
      <c r="H52" s="815"/>
      <c r="I52" s="815"/>
      <c r="J52" s="800"/>
    </row>
    <row r="53" spans="1:10" ht="5.25" customHeight="1">
      <c r="A53" s="806"/>
      <c r="B53" s="807"/>
      <c r="C53" s="808"/>
      <c r="D53" s="808"/>
      <c r="E53" s="819"/>
      <c r="F53" s="819"/>
      <c r="G53" s="819"/>
      <c r="H53" s="815"/>
      <c r="I53" s="815"/>
      <c r="J53" s="800"/>
    </row>
    <row r="54" spans="1:10">
      <c r="A54" s="806"/>
      <c r="B54" s="807" t="s">
        <v>127</v>
      </c>
      <c r="C54" s="808"/>
      <c r="D54" s="808"/>
      <c r="E54" s="821">
        <f>'RR SUMMARY'!O14</f>
        <v>2.8388104000000001E-2</v>
      </c>
      <c r="F54" s="821">
        <f>E54-I54</f>
        <v>2.8388104000000001E-2</v>
      </c>
      <c r="G54" s="821"/>
      <c r="H54" s="822"/>
      <c r="I54" s="821"/>
      <c r="J54" s="800"/>
    </row>
    <row r="55" spans="1:10" ht="6" customHeight="1">
      <c r="A55" s="806"/>
      <c r="B55" s="807"/>
      <c r="C55" s="808"/>
      <c r="D55" s="808"/>
      <c r="E55" s="819"/>
      <c r="F55" s="819"/>
      <c r="G55" s="819"/>
      <c r="H55" s="815"/>
      <c r="I55" s="815"/>
      <c r="J55" s="800"/>
    </row>
    <row r="56" spans="1:10">
      <c r="A56" s="806"/>
      <c r="B56" s="807" t="s">
        <v>120</v>
      </c>
      <c r="C56" s="808"/>
      <c r="D56" s="808"/>
      <c r="E56" s="819">
        <f>E50*E54</f>
        <v>7363.5619084560003</v>
      </c>
      <c r="F56" s="819">
        <f>F50*F54</f>
        <v>567.932408624</v>
      </c>
      <c r="G56" s="819">
        <f>SUM(E56:F56)</f>
        <v>7931.4943170800007</v>
      </c>
      <c r="H56" s="815"/>
      <c r="I56" s="819">
        <f>SUM(I11:I49)</f>
        <v>-283</v>
      </c>
      <c r="J56" s="800"/>
    </row>
    <row r="57" spans="1:10">
      <c r="A57" s="806"/>
      <c r="B57" s="807"/>
      <c r="C57" s="808"/>
      <c r="D57" s="808"/>
      <c r="E57" s="819"/>
      <c r="F57" s="819"/>
      <c r="G57" s="819"/>
      <c r="H57" s="815"/>
      <c r="I57" s="819"/>
      <c r="J57" s="800"/>
    </row>
    <row r="58" spans="1:10">
      <c r="A58" s="806"/>
      <c r="B58" s="807" t="s">
        <v>245</v>
      </c>
      <c r="C58" s="808"/>
      <c r="D58" s="808"/>
      <c r="E58" s="823">
        <v>7120</v>
      </c>
      <c r="F58" s="824"/>
      <c r="G58" s="825">
        <f>SUM(E58:F58)</f>
        <v>7120</v>
      </c>
      <c r="H58" s="815"/>
      <c r="I58" s="826"/>
      <c r="J58" s="800"/>
    </row>
    <row r="59" spans="1:10" ht="5.25" customHeight="1">
      <c r="A59" s="806"/>
      <c r="B59" s="807"/>
      <c r="C59" s="808"/>
      <c r="D59" s="808"/>
      <c r="E59" s="819"/>
      <c r="F59" s="819"/>
      <c r="G59" s="819"/>
      <c r="H59" s="815"/>
      <c r="I59" s="827"/>
      <c r="J59" s="800"/>
    </row>
    <row r="60" spans="1:10">
      <c r="A60" s="806"/>
      <c r="B60" s="807" t="s">
        <v>121</v>
      </c>
      <c r="C60" s="808"/>
      <c r="D60" s="808"/>
      <c r="E60" s="819">
        <f>E56-E58</f>
        <v>243.56190845600031</v>
      </c>
      <c r="F60" s="819">
        <f>F56-F58</f>
        <v>567.932408624</v>
      </c>
      <c r="G60" s="819">
        <f>SUM(E60:F60)</f>
        <v>811.49431708000031</v>
      </c>
      <c r="H60" s="815"/>
      <c r="I60" s="827"/>
      <c r="J60" s="800"/>
    </row>
    <row r="61" spans="1:10" ht="18" customHeight="1">
      <c r="A61" s="806"/>
      <c r="B61" s="807" t="s">
        <v>122</v>
      </c>
      <c r="C61" s="800"/>
      <c r="D61" s="808"/>
      <c r="E61" s="828">
        <v>0.35</v>
      </c>
      <c r="F61" s="828">
        <v>0.35</v>
      </c>
      <c r="G61" s="828"/>
      <c r="H61" s="822"/>
      <c r="I61" s="828"/>
      <c r="J61" s="800"/>
    </row>
    <row r="62" spans="1:10" ht="5.25" customHeight="1" thickBot="1">
      <c r="A62" s="806"/>
      <c r="B62" s="807"/>
      <c r="C62" s="800"/>
      <c r="D62" s="808"/>
      <c r="E62" s="819"/>
      <c r="F62" s="819"/>
      <c r="G62" s="819"/>
      <c r="H62" s="815"/>
      <c r="I62" s="819"/>
      <c r="J62" s="800"/>
    </row>
    <row r="63" spans="1:10" ht="13.5" thickBot="1">
      <c r="A63" s="806"/>
      <c r="B63" s="807" t="s">
        <v>123</v>
      </c>
      <c r="C63" s="800"/>
      <c r="D63" s="808"/>
      <c r="E63" s="832">
        <f>ROUND(E60*-E61,0)</f>
        <v>-85</v>
      </c>
      <c r="F63" s="829">
        <f>ROUND(F60*-F61,0)</f>
        <v>-199</v>
      </c>
      <c r="G63" s="829">
        <f>SUM(E63:F63)</f>
        <v>-284</v>
      </c>
      <c r="H63" s="815"/>
      <c r="I63" s="829">
        <f>I56</f>
        <v>-283</v>
      </c>
      <c r="J63" s="830" t="s">
        <v>434</v>
      </c>
    </row>
    <row r="64" spans="1:10">
      <c r="A64" s="806"/>
      <c r="B64" s="807"/>
      <c r="C64" s="800"/>
      <c r="D64" s="800"/>
      <c r="E64" s="800"/>
      <c r="F64" s="831"/>
      <c r="G64" s="800"/>
      <c r="H64" s="800"/>
      <c r="I64" s="800"/>
      <c r="J64" s="800">
        <f>I63-'ADJ DETAIL INPUT'!U53-'ADJ DETAIL INPUT'!AV54</f>
        <v>166.0596304848483</v>
      </c>
    </row>
    <row r="65" spans="1:8" hidden="1">
      <c r="A65" s="233" t="s">
        <v>220</v>
      </c>
      <c r="B65" s="234" t="s">
        <v>221</v>
      </c>
    </row>
    <row r="66" spans="1:8" hidden="1">
      <c r="B66" s="230" t="s">
        <v>222</v>
      </c>
    </row>
    <row r="67" spans="1:8" hidden="1">
      <c r="B67" s="227" t="s">
        <v>223</v>
      </c>
      <c r="C67" s="235">
        <v>2430</v>
      </c>
      <c r="H67" s="223" t="s">
        <v>224</v>
      </c>
    </row>
    <row r="68" spans="1:8" hidden="1">
      <c r="B68" s="227" t="s">
        <v>225</v>
      </c>
      <c r="C68" s="236">
        <v>2935</v>
      </c>
      <c r="H68" s="223" t="s">
        <v>224</v>
      </c>
    </row>
    <row r="69" spans="1:8" hidden="1">
      <c r="B69" s="227" t="s">
        <v>226</v>
      </c>
      <c r="C69" s="237">
        <f>C67+C68</f>
        <v>5365</v>
      </c>
    </row>
    <row r="70" spans="1:8" hidden="1">
      <c r="C70" s="232"/>
    </row>
    <row r="71" spans="1:8" hidden="1">
      <c r="C71" s="238"/>
      <c r="D71" s="225"/>
      <c r="E71" s="225" t="s">
        <v>227</v>
      </c>
    </row>
    <row r="72" spans="1:8" hidden="1">
      <c r="C72" s="231" t="s">
        <v>228</v>
      </c>
      <c r="D72" s="231" t="s">
        <v>229</v>
      </c>
      <c r="E72" s="231" t="s">
        <v>25</v>
      </c>
    </row>
    <row r="73" spans="1:8" hidden="1">
      <c r="B73" s="227" t="s">
        <v>230</v>
      </c>
      <c r="C73" s="239" t="e">
        <f>#REF!</f>
        <v>#REF!</v>
      </c>
      <c r="D73" s="240" t="e">
        <f>ROUND(C73/$C$76,4)</f>
        <v>#REF!</v>
      </c>
      <c r="E73" s="239" t="e">
        <f>D73*E76</f>
        <v>#REF!</v>
      </c>
      <c r="F73" s="241"/>
    </row>
    <row r="74" spans="1:8" hidden="1">
      <c r="B74" s="227" t="s">
        <v>231</v>
      </c>
      <c r="C74" s="242" t="e">
        <f>#REF!</f>
        <v>#REF!</v>
      </c>
      <c r="D74" s="240" t="e">
        <f>ROUND(C74/$C$76,4)</f>
        <v>#REF!</v>
      </c>
      <c r="E74" s="242" t="e">
        <f>D74*E76</f>
        <v>#REF!</v>
      </c>
    </row>
    <row r="75" spans="1:8" hidden="1">
      <c r="B75" s="227" t="s">
        <v>232</v>
      </c>
      <c r="C75" s="242" t="e">
        <f>#REF!</f>
        <v>#REF!</v>
      </c>
      <c r="D75" s="240" t="e">
        <f>ROUND(C75/$C$76,4)-0.0001</f>
        <v>#REF!</v>
      </c>
      <c r="E75" s="242" t="e">
        <f>E76*D75</f>
        <v>#REF!</v>
      </c>
    </row>
    <row r="76" spans="1:8" hidden="1">
      <c r="B76" s="227" t="s">
        <v>233</v>
      </c>
      <c r="C76" s="243" t="e">
        <f>C73+C74+C75</f>
        <v>#REF!</v>
      </c>
      <c r="D76" s="244" t="e">
        <f>D73+D74+D75</f>
        <v>#REF!</v>
      </c>
      <c r="E76" s="243">
        <f>C69</f>
        <v>5365</v>
      </c>
    </row>
    <row r="77" spans="1:8" hidden="1">
      <c r="C77" s="245"/>
      <c r="D77" s="245"/>
      <c r="E77" s="245"/>
    </row>
    <row r="78" spans="1:8" hidden="1">
      <c r="B78" s="227" t="s">
        <v>234</v>
      </c>
      <c r="C78" s="239" t="e">
        <f>#REF!</f>
        <v>#REF!</v>
      </c>
      <c r="D78" s="240" t="e">
        <f>C78/C80</f>
        <v>#REF!</v>
      </c>
      <c r="E78" s="239" t="e">
        <f>D78*E80</f>
        <v>#REF!</v>
      </c>
    </row>
    <row r="79" spans="1:8" hidden="1">
      <c r="B79" s="227" t="s">
        <v>235</v>
      </c>
      <c r="C79" s="245" t="e">
        <f>#REF!</f>
        <v>#REF!</v>
      </c>
      <c r="D79" s="240" t="e">
        <f>C79/C80</f>
        <v>#REF!</v>
      </c>
      <c r="E79" s="245" t="e">
        <f>D79*E80</f>
        <v>#REF!</v>
      </c>
    </row>
    <row r="80" spans="1:8" hidden="1">
      <c r="B80" s="227" t="s">
        <v>233</v>
      </c>
      <c r="C80" s="243" t="e">
        <f>C78+C79</f>
        <v>#REF!</v>
      </c>
      <c r="D80" s="244" t="e">
        <f>D78+D79</f>
        <v>#REF!</v>
      </c>
      <c r="E80" s="243" t="e">
        <f>E73</f>
        <v>#REF!</v>
      </c>
    </row>
    <row r="81" spans="1:6" hidden="1">
      <c r="C81" s="245"/>
      <c r="D81" s="245"/>
      <c r="E81" s="245"/>
    </row>
    <row r="82" spans="1:6" hidden="1">
      <c r="B82" s="227" t="s">
        <v>236</v>
      </c>
      <c r="C82" s="239" t="e">
        <f>#REF!</f>
        <v>#REF!</v>
      </c>
      <c r="D82" s="246" t="e">
        <f>C82/C84</f>
        <v>#REF!</v>
      </c>
      <c r="E82" s="239" t="e">
        <f>E84*D82</f>
        <v>#REF!</v>
      </c>
    </row>
    <row r="83" spans="1:6" hidden="1">
      <c r="B83" s="227" t="s">
        <v>237</v>
      </c>
      <c r="C83" s="245" t="e">
        <f>#REF!</f>
        <v>#REF!</v>
      </c>
      <c r="D83" s="247" t="e">
        <f>C83/C84</f>
        <v>#REF!</v>
      </c>
      <c r="E83" s="245" t="e">
        <f>E84*D83</f>
        <v>#REF!</v>
      </c>
    </row>
    <row r="84" spans="1:6" hidden="1">
      <c r="B84" s="227" t="s">
        <v>233</v>
      </c>
      <c r="C84" s="243" t="e">
        <f>SUM(C82:C83)</f>
        <v>#REF!</v>
      </c>
      <c r="D84" s="248" t="e">
        <f>SUM(D82:D83)</f>
        <v>#REF!</v>
      </c>
      <c r="E84" s="243" t="e">
        <f>E74</f>
        <v>#REF!</v>
      </c>
    </row>
    <row r="85" spans="1:6" hidden="1">
      <c r="A85" s="249" t="str">
        <f>A1</f>
        <v>AVISTA UTILITIES</v>
      </c>
      <c r="C85" s="250"/>
      <c r="D85" s="251"/>
      <c r="E85" s="250"/>
      <c r="F85" s="251"/>
    </row>
    <row r="86" spans="1:6" hidden="1">
      <c r="A86" s="249" t="str">
        <f>A2</f>
        <v>Restate Debt Interest</v>
      </c>
      <c r="C86" s="250"/>
      <c r="D86" s="251"/>
      <c r="E86" s="250"/>
      <c r="F86" s="251"/>
    </row>
    <row r="87" spans="1:6" hidden="1">
      <c r="A87" s="249" t="s">
        <v>238</v>
      </c>
      <c r="C87" s="250"/>
      <c r="D87" s="251"/>
      <c r="E87" s="250"/>
      <c r="F87" s="251"/>
    </row>
    <row r="88" spans="1:6" hidden="1">
      <c r="A88" s="252" t="str">
        <f>A4</f>
        <v>TWELVE MONTHS ENDED SEPTEMBER 30, 2015</v>
      </c>
      <c r="C88" s="224"/>
      <c r="D88" s="251"/>
      <c r="E88" s="224"/>
      <c r="F88" s="251"/>
    </row>
    <row r="89" spans="1:6" hidden="1">
      <c r="A89" s="253" t="s">
        <v>117</v>
      </c>
      <c r="C89" s="250"/>
      <c r="D89" s="251"/>
      <c r="E89" s="251"/>
      <c r="F89" s="251"/>
    </row>
    <row r="90" spans="1:6" hidden="1">
      <c r="C90" s="228"/>
      <c r="D90" s="228"/>
      <c r="E90" s="229"/>
      <c r="F90" s="225" t="s">
        <v>20</v>
      </c>
    </row>
    <row r="91" spans="1:6" hidden="1">
      <c r="B91" s="230" t="s">
        <v>118</v>
      </c>
      <c r="C91" s="228"/>
      <c r="D91" s="228"/>
      <c r="E91" s="229"/>
      <c r="F91" s="231" t="s">
        <v>119</v>
      </c>
    </row>
    <row r="92" spans="1:6" hidden="1">
      <c r="A92" s="226" t="e">
        <f>'[5]ADJ SUMMARY'!#REF!</f>
        <v>#REF!</v>
      </c>
      <c r="B92" s="227" t="e">
        <f>'[5]ADJ SUMMARY'!#REF!</f>
        <v>#REF!</v>
      </c>
      <c r="C92" s="228"/>
      <c r="D92" s="228"/>
      <c r="E92" s="232"/>
      <c r="F92" s="254" t="e">
        <f>'[5]ADJ SUMMARY'!#REF!</f>
        <v>#REF!</v>
      </c>
    </row>
    <row r="93" spans="1:6" hidden="1">
      <c r="A93" s="226" t="e">
        <f>'[5]ADJ SUMMARY'!#REF!</f>
        <v>#REF!</v>
      </c>
      <c r="B93" s="227" t="e">
        <f>'[5]ADJ SUMMARY'!#REF!</f>
        <v>#REF!</v>
      </c>
      <c r="C93" s="228"/>
      <c r="D93" s="228"/>
      <c r="E93" s="232"/>
      <c r="F93" s="254" t="e">
        <f>'[5]ADJ SUMMARY'!#REF!</f>
        <v>#REF!</v>
      </c>
    </row>
    <row r="94" spans="1:6" hidden="1">
      <c r="A94" s="226" t="e">
        <f>'[5]ADJ SUMMARY'!#REF!</f>
        <v>#REF!</v>
      </c>
      <c r="B94" s="227" t="e">
        <f>'[5]ADJ SUMMARY'!#REF!</f>
        <v>#REF!</v>
      </c>
      <c r="C94" s="228"/>
      <c r="D94" s="228"/>
      <c r="E94" s="232"/>
      <c r="F94" s="254" t="e">
        <f>'[5]ADJ SUMMARY'!#REF!</f>
        <v>#REF!</v>
      </c>
    </row>
    <row r="95" spans="1:6" hidden="1">
      <c r="A95" s="226" t="e">
        <f>'[5]ADJ SUMMARY'!#REF!</f>
        <v>#REF!</v>
      </c>
      <c r="B95" s="227" t="e">
        <f>'[5]ADJ SUMMARY'!#REF!</f>
        <v>#REF!</v>
      </c>
      <c r="C95" s="228"/>
      <c r="D95" s="228"/>
      <c r="E95" s="232"/>
      <c r="F95" s="254" t="e">
        <f>'[5]ADJ SUMMARY'!#REF!</f>
        <v>#REF!</v>
      </c>
    </row>
    <row r="96" spans="1:6" hidden="1">
      <c r="A96" s="226" t="e">
        <f>'[5]ADJ SUMMARY'!#REF!</f>
        <v>#REF!</v>
      </c>
      <c r="B96" s="227" t="e">
        <f>'[5]ADJ SUMMARY'!#REF!</f>
        <v>#REF!</v>
      </c>
      <c r="C96" s="228"/>
      <c r="D96" s="228"/>
      <c r="E96" s="232"/>
      <c r="F96" s="254" t="e">
        <f>'[5]ADJ SUMMARY'!#REF!</f>
        <v>#REF!</v>
      </c>
    </row>
    <row r="97" spans="1:6" hidden="1">
      <c r="A97" s="226" t="e">
        <f>'[5]ADJ SUMMARY'!#REF!</f>
        <v>#REF!</v>
      </c>
      <c r="B97" s="227" t="e">
        <f>'[5]ADJ SUMMARY'!#REF!</f>
        <v>#REF!</v>
      </c>
      <c r="C97" s="228"/>
      <c r="D97" s="228"/>
      <c r="E97" s="232"/>
      <c r="F97" s="254" t="e">
        <f>'[5]ADJ SUMMARY'!#REF!</f>
        <v>#REF!</v>
      </c>
    </row>
    <row r="98" spans="1:6" hidden="1">
      <c r="A98" s="226" t="e">
        <f>'[5]ADJ SUMMARY'!#REF!</f>
        <v>#REF!</v>
      </c>
      <c r="B98" s="227" t="e">
        <f>'[5]ADJ SUMMARY'!#REF!</f>
        <v>#REF!</v>
      </c>
      <c r="C98" s="228"/>
      <c r="D98" s="228"/>
      <c r="E98" s="232"/>
      <c r="F98" s="254" t="e">
        <f>'[5]ADJ SUMMARY'!#REF!</f>
        <v>#REF!</v>
      </c>
    </row>
    <row r="99" spans="1:6" hidden="1">
      <c r="A99" s="226" t="e">
        <f>'[5]ADJ SUMMARY'!#REF!</f>
        <v>#REF!</v>
      </c>
      <c r="B99" s="227" t="e">
        <f>'[5]ADJ SUMMARY'!#REF!</f>
        <v>#REF!</v>
      </c>
      <c r="C99" s="228"/>
      <c r="D99" s="228"/>
      <c r="E99" s="232"/>
      <c r="F99" s="254" t="e">
        <f>'[5]ADJ SUMMARY'!#REF!</f>
        <v>#REF!</v>
      </c>
    </row>
    <row r="100" spans="1:6" hidden="1">
      <c r="A100" s="226" t="e">
        <f>'[5]ADJ SUMMARY'!#REF!</f>
        <v>#REF!</v>
      </c>
      <c r="B100" s="227" t="e">
        <f>'[5]ADJ SUMMARY'!#REF!</f>
        <v>#REF!</v>
      </c>
      <c r="C100" s="228"/>
      <c r="D100" s="228"/>
      <c r="E100" s="232"/>
      <c r="F100" s="254" t="e">
        <f>'[5]ADJ SUMMARY'!#REF!</f>
        <v>#REF!</v>
      </c>
    </row>
    <row r="101" spans="1:6" hidden="1">
      <c r="A101" s="226" t="e">
        <f>'[5]ADJ SUMMARY'!#REF!</f>
        <v>#REF!</v>
      </c>
      <c r="B101" s="227" t="e">
        <f>'[5]ADJ SUMMARY'!#REF!</f>
        <v>#REF!</v>
      </c>
      <c r="C101" s="228"/>
      <c r="D101" s="228"/>
      <c r="E101" s="232"/>
      <c r="F101" s="254" t="e">
        <f>'[5]ADJ SUMMARY'!#REF!</f>
        <v>#REF!</v>
      </c>
    </row>
    <row r="102" spans="1:6" hidden="1">
      <c r="A102" s="226" t="e">
        <f>'[5]ADJ SUMMARY'!#REF!</f>
        <v>#REF!</v>
      </c>
      <c r="B102" s="227" t="e">
        <f>'[5]ADJ SUMMARY'!#REF!</f>
        <v>#REF!</v>
      </c>
      <c r="C102" s="228"/>
      <c r="D102" s="228"/>
      <c r="E102" s="232"/>
      <c r="F102" s="254" t="e">
        <f>'[5]ADJ SUMMARY'!#REF!</f>
        <v>#REF!</v>
      </c>
    </row>
    <row r="103" spans="1:6" hidden="1">
      <c r="A103" s="226" t="e">
        <f>'[5]ADJ SUMMARY'!#REF!</f>
        <v>#REF!</v>
      </c>
      <c r="B103" s="227" t="e">
        <f>'[5]ADJ SUMMARY'!#REF!</f>
        <v>#REF!</v>
      </c>
      <c r="C103" s="228"/>
      <c r="D103" s="228"/>
      <c r="E103" s="232"/>
      <c r="F103" s="254" t="e">
        <f>'[5]ADJ SUMMARY'!#REF!</f>
        <v>#REF!</v>
      </c>
    </row>
    <row r="104" spans="1:6" hidden="1">
      <c r="A104" s="226" t="e">
        <f>'[5]ADJ SUMMARY'!#REF!</f>
        <v>#REF!</v>
      </c>
      <c r="B104" s="227" t="e">
        <f>'[5]ADJ SUMMARY'!#REF!</f>
        <v>#REF!</v>
      </c>
      <c r="C104" s="228"/>
      <c r="D104" s="228"/>
      <c r="E104" s="232"/>
      <c r="F104" s="254" t="e">
        <f>'[5]ADJ SUMMARY'!#REF!</f>
        <v>#REF!</v>
      </c>
    </row>
    <row r="105" spans="1:6" hidden="1">
      <c r="A105" s="226" t="e">
        <f>'[5]ADJ SUMMARY'!#REF!</f>
        <v>#REF!</v>
      </c>
      <c r="B105" s="227" t="e">
        <f>'[5]ADJ SUMMARY'!#REF!</f>
        <v>#REF!</v>
      </c>
      <c r="C105" s="228"/>
      <c r="D105" s="228"/>
      <c r="E105" s="232"/>
      <c r="F105" s="254" t="e">
        <f>'[5]ADJ SUMMARY'!#REF!</f>
        <v>#REF!</v>
      </c>
    </row>
    <row r="106" spans="1:6" hidden="1">
      <c r="A106" s="226" t="e">
        <f>'[5]ADJ SUMMARY'!#REF!</f>
        <v>#REF!</v>
      </c>
      <c r="B106" s="227" t="e">
        <f>'[5]ADJ SUMMARY'!#REF!</f>
        <v>#REF!</v>
      </c>
      <c r="C106" s="228"/>
      <c r="D106" s="228"/>
      <c r="E106" s="232"/>
      <c r="F106" s="254" t="e">
        <f>'[5]ADJ SUMMARY'!#REF!</f>
        <v>#REF!</v>
      </c>
    </row>
    <row r="107" spans="1:6" hidden="1">
      <c r="A107" s="226" t="e">
        <f>'[5]ADJ SUMMARY'!#REF!</f>
        <v>#REF!</v>
      </c>
      <c r="B107" s="227" t="e">
        <f>'[5]ADJ SUMMARY'!#REF!</f>
        <v>#REF!</v>
      </c>
      <c r="C107" s="228"/>
      <c r="D107" s="228"/>
      <c r="E107" s="232"/>
      <c r="F107" s="254" t="e">
        <f>'[5]ADJ SUMMARY'!#REF!</f>
        <v>#REF!</v>
      </c>
    </row>
    <row r="108" spans="1:6" hidden="1">
      <c r="A108" s="226" t="e">
        <f>'[5]ADJ SUMMARY'!#REF!</f>
        <v>#REF!</v>
      </c>
      <c r="B108" s="227" t="e">
        <f>'[5]ADJ SUMMARY'!#REF!</f>
        <v>#REF!</v>
      </c>
      <c r="C108" s="228"/>
      <c r="D108" s="228"/>
      <c r="E108" s="232"/>
      <c r="F108" s="254" t="e">
        <f>'[5]ADJ SUMMARY'!#REF!</f>
        <v>#REF!</v>
      </c>
    </row>
    <row r="109" spans="1:6" hidden="1">
      <c r="A109" s="226" t="e">
        <f>'[5]ADJ SUMMARY'!#REF!</f>
        <v>#REF!</v>
      </c>
      <c r="B109" s="227" t="e">
        <f>'[5]ADJ SUMMARY'!#REF!</f>
        <v>#REF!</v>
      </c>
      <c r="C109" s="228"/>
      <c r="D109" s="228"/>
      <c r="E109" s="232"/>
      <c r="F109" s="254" t="e">
        <f>'[5]ADJ SUMMARY'!#REF!</f>
        <v>#REF!</v>
      </c>
    </row>
    <row r="110" spans="1:6" hidden="1">
      <c r="A110" s="226" t="e">
        <f>'[5]ADJ SUMMARY'!#REF!</f>
        <v>#REF!</v>
      </c>
      <c r="B110" s="227" t="e">
        <f>'[5]ADJ SUMMARY'!#REF!</f>
        <v>#REF!</v>
      </c>
      <c r="C110" s="228"/>
      <c r="D110" s="228"/>
      <c r="E110" s="232"/>
      <c r="F110" s="254" t="e">
        <f>'[5]ADJ SUMMARY'!#REF!</f>
        <v>#REF!</v>
      </c>
    </row>
    <row r="111" spans="1:6" hidden="1">
      <c r="A111" s="226" t="e">
        <f>'[5]ADJ SUMMARY'!#REF!</f>
        <v>#REF!</v>
      </c>
      <c r="B111" s="227" t="e">
        <f>'[5]ADJ SUMMARY'!#REF!</f>
        <v>#REF!</v>
      </c>
      <c r="C111" s="228"/>
      <c r="D111" s="228"/>
      <c r="E111" s="232"/>
      <c r="F111" s="254" t="e">
        <f>'[5]ADJ SUMMARY'!#REF!</f>
        <v>#REF!</v>
      </c>
    </row>
    <row r="112" spans="1:6" hidden="1">
      <c r="A112" s="226" t="e">
        <f>'[5]ADJ SUMMARY'!#REF!</f>
        <v>#REF!</v>
      </c>
      <c r="B112" s="227" t="e">
        <f>'[5]ADJ SUMMARY'!#REF!</f>
        <v>#REF!</v>
      </c>
      <c r="C112" s="228"/>
      <c r="D112" s="228"/>
      <c r="E112" s="232"/>
      <c r="F112" s="254" t="e">
        <f>'[5]ADJ SUMMARY'!#REF!</f>
        <v>#REF!</v>
      </c>
    </row>
    <row r="113" spans="1:6" ht="5.25" hidden="1" customHeight="1">
      <c r="C113" s="228"/>
      <c r="D113" s="228"/>
      <c r="E113" s="232"/>
      <c r="F113" s="254"/>
    </row>
    <row r="114" spans="1:6" ht="13.5" hidden="1" customHeight="1">
      <c r="A114" s="226" t="e">
        <f>'[5]ADJ SUMMARY'!#REF!</f>
        <v>#REF!</v>
      </c>
      <c r="B114" s="227" t="e">
        <f>'[5]ADJ SUMMARY'!#REF!</f>
        <v>#REF!</v>
      </c>
      <c r="C114" s="228"/>
      <c r="D114" s="228"/>
      <c r="E114" s="232"/>
      <c r="F114" s="254" t="e">
        <f>'[5]ADJ SUMMARY'!#REF!</f>
        <v>#REF!</v>
      </c>
    </row>
    <row r="115" spans="1:6" hidden="1">
      <c r="A115" s="226" t="e">
        <f>'[5]ADJ SUMMARY'!#REF!</f>
        <v>#REF!</v>
      </c>
      <c r="B115" s="227" t="e">
        <f>'[5]ADJ SUMMARY'!#REF!</f>
        <v>#REF!</v>
      </c>
      <c r="C115" s="228"/>
      <c r="D115" s="228"/>
      <c r="E115" s="232"/>
      <c r="F115" s="254" t="e">
        <f>'[5]ADJ SUMMARY'!#REF!</f>
        <v>#REF!</v>
      </c>
    </row>
    <row r="116" spans="1:6" hidden="1">
      <c r="A116" s="226" t="e">
        <f>'[5]ADJ SUMMARY'!#REF!</f>
        <v>#REF!</v>
      </c>
      <c r="B116" s="227" t="e">
        <f>'[5]ADJ SUMMARY'!#REF!</f>
        <v>#REF!</v>
      </c>
      <c r="C116" s="228"/>
      <c r="D116" s="228"/>
      <c r="E116" s="232"/>
      <c r="F116" s="254" t="e">
        <f>'[5]ADJ SUMMARY'!#REF!</f>
        <v>#REF!</v>
      </c>
    </row>
    <row r="117" spans="1:6" hidden="1">
      <c r="A117" s="226" t="e">
        <f>'[5]ADJ SUMMARY'!#REF!</f>
        <v>#REF!</v>
      </c>
      <c r="B117" s="227" t="e">
        <f>'[5]ADJ SUMMARY'!#REF!</f>
        <v>#REF!</v>
      </c>
      <c r="C117" s="228"/>
      <c r="D117" s="228"/>
      <c r="E117" s="232"/>
      <c r="F117" s="254" t="e">
        <f>'[5]ADJ SUMMARY'!#REF!</f>
        <v>#REF!</v>
      </c>
    </row>
    <row r="118" spans="1:6" hidden="1">
      <c r="A118" s="226" t="e">
        <f>'[5]ADJ SUMMARY'!#REF!</f>
        <v>#REF!</v>
      </c>
      <c r="B118" s="227" t="e">
        <f>'[5]ADJ SUMMARY'!#REF!</f>
        <v>#REF!</v>
      </c>
      <c r="C118" s="228"/>
      <c r="D118" s="228"/>
      <c r="E118" s="232"/>
      <c r="F118" s="254" t="e">
        <f>'[5]ADJ SUMMARY'!#REF!</f>
        <v>#REF!</v>
      </c>
    </row>
    <row r="119" spans="1:6" hidden="1">
      <c r="A119" s="226" t="e">
        <f>'[5]ADJ SUMMARY'!#REF!</f>
        <v>#REF!</v>
      </c>
      <c r="B119" s="227" t="e">
        <f>'[5]ADJ SUMMARY'!#REF!</f>
        <v>#REF!</v>
      </c>
      <c r="C119" s="228"/>
      <c r="D119" s="228"/>
      <c r="E119" s="232"/>
      <c r="F119" s="254" t="e">
        <f>'[5]ADJ SUMMARY'!#REF!</f>
        <v>#REF!</v>
      </c>
    </row>
    <row r="120" spans="1:6" hidden="1">
      <c r="A120" s="226" t="e">
        <f>'[5]ADJ SUMMARY'!#REF!</f>
        <v>#REF!</v>
      </c>
      <c r="B120" s="227" t="e">
        <f>'[5]ADJ SUMMARY'!#REF!</f>
        <v>#REF!</v>
      </c>
      <c r="C120" s="228"/>
      <c r="D120" s="228"/>
      <c r="E120" s="232"/>
      <c r="F120" s="254" t="e">
        <f>'[5]ADJ SUMMARY'!#REF!</f>
        <v>#REF!</v>
      </c>
    </row>
    <row r="121" spans="1:6" hidden="1">
      <c r="A121" s="226" t="e">
        <f>'[5]ADJ SUMMARY'!#REF!</f>
        <v>#REF!</v>
      </c>
      <c r="B121" s="227" t="e">
        <f>'[5]ADJ SUMMARY'!#REF!</f>
        <v>#REF!</v>
      </c>
      <c r="C121" s="228"/>
      <c r="D121" s="228"/>
      <c r="E121" s="232"/>
      <c r="F121" s="254" t="e">
        <f>'[5]ADJ SUMMARY'!#REF!</f>
        <v>#REF!</v>
      </c>
    </row>
    <row r="122" spans="1:6" hidden="1">
      <c r="A122" s="226" t="e">
        <f>'[5]ADJ SUMMARY'!#REF!</f>
        <v>#REF!</v>
      </c>
      <c r="B122" s="227" t="e">
        <f>'[5]ADJ SUMMARY'!#REF!</f>
        <v>#REF!</v>
      </c>
      <c r="C122" s="228"/>
      <c r="D122" s="228"/>
      <c r="E122" s="232"/>
      <c r="F122" s="254" t="e">
        <f>'[5]ADJ SUMMARY'!#REF!</f>
        <v>#REF!</v>
      </c>
    </row>
    <row r="123" spans="1:6" hidden="1">
      <c r="A123" s="226" t="e">
        <f>'[5]ADJ SUMMARY'!#REF!</f>
        <v>#REF!</v>
      </c>
      <c r="B123" s="227" t="e">
        <f>'[5]ADJ SUMMARY'!#REF!</f>
        <v>#REF!</v>
      </c>
      <c r="C123" s="228"/>
      <c r="D123" s="228"/>
      <c r="E123" s="232"/>
      <c r="F123" s="254" t="e">
        <f>'[5]ADJ SUMMARY'!#REF!</f>
        <v>#REF!</v>
      </c>
    </row>
    <row r="124" spans="1:6" hidden="1">
      <c r="A124" s="226" t="e">
        <f>'[5]ADJ SUMMARY'!#REF!</f>
        <v>#REF!</v>
      </c>
      <c r="B124" s="227" t="e">
        <f>'[5]ADJ SUMMARY'!#REF!</f>
        <v>#REF!</v>
      </c>
      <c r="C124" s="228"/>
      <c r="D124" s="228"/>
      <c r="E124" s="232"/>
      <c r="F124" s="254" t="e">
        <f>'[5]ADJ SUMMARY'!#REF!</f>
        <v>#REF!</v>
      </c>
    </row>
    <row r="125" spans="1:6" hidden="1">
      <c r="A125" s="226" t="e">
        <f>'[5]ADJ SUMMARY'!#REF!</f>
        <v>#REF!</v>
      </c>
      <c r="B125" s="227" t="e">
        <f>'[5]ADJ SUMMARY'!#REF!</f>
        <v>#REF!</v>
      </c>
      <c r="C125" s="228"/>
      <c r="D125" s="228"/>
      <c r="E125" s="232"/>
      <c r="F125" s="254" t="e">
        <f>'[5]ADJ SUMMARY'!#REF!</f>
        <v>#REF!</v>
      </c>
    </row>
    <row r="126" spans="1:6" hidden="1">
      <c r="A126" s="226" t="e">
        <f>'[5]ADJ SUMMARY'!#REF!</f>
        <v>#REF!</v>
      </c>
      <c r="B126" s="227" t="e">
        <f>'[5]ADJ SUMMARY'!#REF!</f>
        <v>#REF!</v>
      </c>
      <c r="C126" s="228"/>
      <c r="D126" s="228"/>
      <c r="E126" s="232"/>
      <c r="F126" s="254" t="e">
        <f>'[5]ADJ SUMMARY'!#REF!</f>
        <v>#REF!</v>
      </c>
    </row>
    <row r="127" spans="1:6" hidden="1">
      <c r="A127" s="226" t="e">
        <f>'[5]ADJ SUMMARY'!#REF!</f>
        <v>#REF!</v>
      </c>
      <c r="B127" s="227" t="e">
        <f>'[5]ADJ SUMMARY'!#REF!</f>
        <v>#REF!</v>
      </c>
      <c r="C127" s="228"/>
      <c r="D127" s="228"/>
      <c r="E127" s="232"/>
      <c r="F127" s="254" t="e">
        <f>'[5]ADJ SUMMARY'!#REF!</f>
        <v>#REF!</v>
      </c>
    </row>
    <row r="128" spans="1:6" ht="13.5" hidden="1" customHeight="1">
      <c r="A128" s="226" t="e">
        <f>'[5]ADJ SUMMARY'!#REF!</f>
        <v>#REF!</v>
      </c>
      <c r="B128" s="227" t="e">
        <f>'[5]ADJ SUMMARY'!#REF!</f>
        <v>#REF!</v>
      </c>
      <c r="C128" s="228"/>
      <c r="D128" s="228"/>
      <c r="E128" s="232"/>
      <c r="F128" s="254" t="e">
        <f>'[5]ADJ SUMMARY'!#REF!</f>
        <v>#REF!</v>
      </c>
    </row>
    <row r="129" spans="1:9" ht="0.75" hidden="1" customHeight="1">
      <c r="A129" s="226" t="e">
        <f>'[5]ADJ SUMMARY'!#REF!</f>
        <v>#REF!</v>
      </c>
      <c r="B129" s="227" t="e">
        <f>'[5]ADJ SUMMARY'!#REF!</f>
        <v>#REF!</v>
      </c>
      <c r="C129" s="228"/>
      <c r="D129" s="228"/>
      <c r="E129" s="232"/>
      <c r="F129" s="254" t="e">
        <f>'[5]ADJ SUMMARY'!#REF!</f>
        <v>#REF!</v>
      </c>
    </row>
    <row r="130" spans="1:9" ht="13.5" hidden="1" customHeight="1">
      <c r="B130" s="227" t="s">
        <v>239</v>
      </c>
      <c r="C130" s="228"/>
      <c r="D130" s="228"/>
      <c r="E130" s="232"/>
      <c r="F130" s="237" t="e">
        <f>SUM(F92:F129)</f>
        <v>#REF!</v>
      </c>
    </row>
    <row r="131" spans="1:9" hidden="1">
      <c r="C131" s="228"/>
      <c r="D131" s="228"/>
      <c r="E131" s="228"/>
      <c r="F131" s="223"/>
      <c r="G131" s="255"/>
    </row>
    <row r="132" spans="1:9" hidden="1">
      <c r="B132" s="227" t="str">
        <f>B54</f>
        <v>Weighted Average Cost of Debt</v>
      </c>
      <c r="C132" s="256"/>
      <c r="D132" s="256"/>
      <c r="E132" s="257"/>
      <c r="F132" s="258" t="e">
        <f>'[5]RR SUMMARY'!#REF!</f>
        <v>#REF!</v>
      </c>
      <c r="H132" s="259" t="s">
        <v>240</v>
      </c>
      <c r="I132" s="245"/>
    </row>
    <row r="133" spans="1:9" hidden="1">
      <c r="C133" s="228"/>
      <c r="D133" s="228"/>
      <c r="F133" s="223"/>
    </row>
    <row r="134" spans="1:9" hidden="1">
      <c r="B134" s="227" t="s">
        <v>120</v>
      </c>
      <c r="C134" s="228"/>
      <c r="D134" s="228"/>
      <c r="E134" s="232"/>
      <c r="F134" s="232" t="e">
        <f>F130*F132</f>
        <v>#REF!</v>
      </c>
    </row>
    <row r="135" spans="1:9" hidden="1">
      <c r="C135" s="228"/>
      <c r="D135" s="228"/>
      <c r="E135" s="228"/>
      <c r="F135" s="223"/>
    </row>
    <row r="136" spans="1:9" hidden="1">
      <c r="B136" s="227" t="s">
        <v>241</v>
      </c>
      <c r="C136" s="228"/>
      <c r="D136" s="228"/>
      <c r="F136" s="260">
        <v>21469</v>
      </c>
      <c r="H136" s="261" t="s">
        <v>242</v>
      </c>
    </row>
    <row r="137" spans="1:9" hidden="1">
      <c r="C137" s="228"/>
      <c r="D137" s="228"/>
      <c r="E137" s="228"/>
      <c r="F137" s="223"/>
    </row>
    <row r="138" spans="1:9" hidden="1">
      <c r="B138" s="227" t="s">
        <v>121</v>
      </c>
      <c r="C138" s="228"/>
      <c r="D138" s="228"/>
      <c r="E138" s="232"/>
      <c r="F138" s="232" t="e">
        <f>F134-F136</f>
        <v>#REF!</v>
      </c>
    </row>
    <row r="139" spans="1:9" hidden="1">
      <c r="B139" s="227" t="s">
        <v>122</v>
      </c>
      <c r="D139" s="228"/>
      <c r="E139" s="262"/>
      <c r="F139" s="263">
        <v>0.35</v>
      </c>
    </row>
    <row r="140" spans="1:9" hidden="1">
      <c r="D140" s="228"/>
      <c r="E140" s="228"/>
      <c r="F140" s="223"/>
    </row>
    <row r="141" spans="1:9" hidden="1">
      <c r="B141" s="227" t="s">
        <v>123</v>
      </c>
      <c r="D141" s="228"/>
      <c r="E141" s="232"/>
      <c r="F141" s="232" t="e">
        <f>F138*-F139</f>
        <v>#REF!</v>
      </c>
      <c r="G141" s="232"/>
    </row>
    <row r="142" spans="1:9" ht="13.5" hidden="1" thickTop="1">
      <c r="D142" s="228"/>
      <c r="E142" s="232"/>
      <c r="F142" s="264"/>
    </row>
    <row r="143" spans="1:9" hidden="1">
      <c r="A143" s="265"/>
      <c r="F143" s="223"/>
    </row>
    <row r="144" spans="1:9" hidden="1">
      <c r="A144" s="265"/>
      <c r="B144" s="230" t="s">
        <v>222</v>
      </c>
      <c r="F144" s="223"/>
    </row>
    <row r="145" spans="1:6" hidden="1">
      <c r="A145" s="265"/>
      <c r="B145" s="227" t="s">
        <v>223</v>
      </c>
      <c r="C145" s="232">
        <f>C67</f>
        <v>2430</v>
      </c>
      <c r="F145" s="223"/>
    </row>
    <row r="146" spans="1:6" hidden="1">
      <c r="A146" s="265"/>
      <c r="B146" s="227" t="s">
        <v>225</v>
      </c>
      <c r="C146" s="223">
        <f>C68</f>
        <v>2935</v>
      </c>
      <c r="F146" s="223"/>
    </row>
    <row r="147" spans="1:6" hidden="1">
      <c r="A147" s="265"/>
      <c r="B147" s="227" t="s">
        <v>226</v>
      </c>
      <c r="C147" s="237">
        <f>C145+C146</f>
        <v>5365</v>
      </c>
      <c r="F147" s="223"/>
    </row>
    <row r="148" spans="1:6" hidden="1">
      <c r="A148" s="265"/>
      <c r="C148" s="232"/>
      <c r="F148" s="223"/>
    </row>
    <row r="149" spans="1:6" hidden="1">
      <c r="A149" s="265"/>
      <c r="C149" s="238"/>
      <c r="D149" s="225"/>
      <c r="E149" s="225" t="s">
        <v>227</v>
      </c>
      <c r="F149" s="223"/>
    </row>
    <row r="150" spans="1:6" hidden="1">
      <c r="A150" s="265"/>
      <c r="C150" s="231" t="s">
        <v>228</v>
      </c>
      <c r="D150" s="231" t="s">
        <v>229</v>
      </c>
      <c r="E150" s="231" t="s">
        <v>25</v>
      </c>
      <c r="F150" s="223"/>
    </row>
    <row r="151" spans="1:6" hidden="1">
      <c r="A151" s="265"/>
      <c r="B151" s="227" t="s">
        <v>230</v>
      </c>
      <c r="C151" s="232" t="e">
        <f>$C$73</f>
        <v>#REF!</v>
      </c>
      <c r="D151" s="266" t="e">
        <f>C151/C154</f>
        <v>#REF!</v>
      </c>
      <c r="E151" s="232" t="e">
        <f>D151*E154</f>
        <v>#REF!</v>
      </c>
      <c r="F151" s="223"/>
    </row>
    <row r="152" spans="1:6" hidden="1">
      <c r="A152" s="265"/>
      <c r="B152" s="227" t="s">
        <v>231</v>
      </c>
      <c r="C152" s="223" t="e">
        <f>$C$74</f>
        <v>#REF!</v>
      </c>
      <c r="D152" s="267" t="e">
        <f>C152/C154</f>
        <v>#REF!</v>
      </c>
      <c r="E152" s="268" t="e">
        <f>D152*E154</f>
        <v>#REF!</v>
      </c>
      <c r="F152" s="223"/>
    </row>
    <row r="153" spans="1:6" hidden="1">
      <c r="A153" s="265"/>
      <c r="B153" s="227" t="s">
        <v>232</v>
      </c>
      <c r="C153" s="223" t="e">
        <f>$C$75</f>
        <v>#REF!</v>
      </c>
      <c r="D153" s="267" t="e">
        <f>C153/C154</f>
        <v>#REF!</v>
      </c>
      <c r="E153" s="268" t="e">
        <f>E154*D153</f>
        <v>#REF!</v>
      </c>
      <c r="F153" s="223"/>
    </row>
    <row r="154" spans="1:6" hidden="1">
      <c r="A154" s="265"/>
      <c r="B154" s="227" t="s">
        <v>233</v>
      </c>
      <c r="C154" s="237" t="e">
        <f>C151+C152+C153</f>
        <v>#REF!</v>
      </c>
      <c r="D154" s="269" t="e">
        <f>D151+D152+D153</f>
        <v>#REF!</v>
      </c>
      <c r="E154" s="237">
        <f>C147</f>
        <v>5365</v>
      </c>
      <c r="F154" s="223"/>
    </row>
    <row r="155" spans="1:6" hidden="1">
      <c r="A155" s="265"/>
      <c r="F155" s="223"/>
    </row>
    <row r="156" spans="1:6" hidden="1">
      <c r="A156" s="265"/>
      <c r="B156" s="227" t="s">
        <v>234</v>
      </c>
      <c r="C156" s="232" t="e">
        <f>$C$78</f>
        <v>#REF!</v>
      </c>
      <c r="D156" s="266" t="e">
        <f>C156/C158</f>
        <v>#REF!</v>
      </c>
      <c r="E156" s="232" t="e">
        <f>D156*E158</f>
        <v>#REF!</v>
      </c>
      <c r="F156" s="223"/>
    </row>
    <row r="157" spans="1:6" hidden="1">
      <c r="A157" s="265"/>
      <c r="B157" s="227" t="s">
        <v>235</v>
      </c>
      <c r="C157" s="223" t="e">
        <f>$C$79</f>
        <v>#REF!</v>
      </c>
      <c r="D157" s="266" t="e">
        <f>C157/C158</f>
        <v>#REF!</v>
      </c>
      <c r="E157" s="223" t="e">
        <f>D157*E158</f>
        <v>#REF!</v>
      </c>
      <c r="F157" s="223"/>
    </row>
    <row r="158" spans="1:6" hidden="1">
      <c r="A158" s="265"/>
      <c r="B158" s="227" t="s">
        <v>233</v>
      </c>
      <c r="C158" s="237" t="e">
        <f>C156+C157</f>
        <v>#REF!</v>
      </c>
      <c r="D158" s="269" t="e">
        <f>D156+D157</f>
        <v>#REF!</v>
      </c>
      <c r="E158" s="237" t="e">
        <f>E151</f>
        <v>#REF!</v>
      </c>
      <c r="F158" s="223"/>
    </row>
    <row r="159" spans="1:6" hidden="1">
      <c r="A159" s="265"/>
      <c r="F159" s="223"/>
    </row>
    <row r="160" spans="1:6" hidden="1">
      <c r="A160" s="265"/>
      <c r="B160" s="227" t="s">
        <v>236</v>
      </c>
      <c r="C160" s="232" t="e">
        <f>$C$82</f>
        <v>#REF!</v>
      </c>
      <c r="D160" s="270" t="e">
        <f>C160/C162</f>
        <v>#REF!</v>
      </c>
      <c r="E160" s="232" t="e">
        <f>E162*D160</f>
        <v>#REF!</v>
      </c>
      <c r="F160" s="223"/>
    </row>
    <row r="161" spans="1:6" hidden="1">
      <c r="A161" s="265"/>
      <c r="B161" s="227" t="s">
        <v>237</v>
      </c>
      <c r="C161" s="223" t="e">
        <f>C$83</f>
        <v>#REF!</v>
      </c>
      <c r="D161" s="271" t="e">
        <f>C161/C162</f>
        <v>#REF!</v>
      </c>
      <c r="E161" s="223" t="e">
        <f>E162*D161</f>
        <v>#REF!</v>
      </c>
      <c r="F161" s="223"/>
    </row>
    <row r="162" spans="1:6" hidden="1">
      <c r="A162" s="265"/>
      <c r="B162" s="227" t="s">
        <v>233</v>
      </c>
      <c r="C162" s="237" t="e">
        <f>SUM(C160:C161)</f>
        <v>#REF!</v>
      </c>
      <c r="D162" s="272" t="e">
        <f>SUM(D160:D161)</f>
        <v>#REF!</v>
      </c>
      <c r="E162" s="237" t="e">
        <f>E152</f>
        <v>#REF!</v>
      </c>
      <c r="F162" s="223"/>
    </row>
  </sheetData>
  <mergeCells count="6">
    <mergeCell ref="E7:G7"/>
    <mergeCell ref="A1:H1"/>
    <mergeCell ref="A2:H2"/>
    <mergeCell ref="A3:H3"/>
    <mergeCell ref="A4:H4"/>
    <mergeCell ref="A5:H5"/>
  </mergeCells>
  <printOptions horizontalCentered="1"/>
  <pageMargins left="0.75" right="0.75" top="0.5" bottom="0.5" header="0.5" footer="0.25"/>
  <pageSetup scale="90" orientation="portrait" r:id="rId1"/>
  <headerFooter alignWithMargins="0">
    <oddFooter>&amp;Lfile:  &amp;f&amp;Rkm &amp;d</oddFooter>
  </headerFooter>
  <rowBreaks count="1" manualBreakCount="1">
    <brk id="84"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8"/>
  <sheetViews>
    <sheetView view="pageBreakPreview" zoomScale="85" zoomScaleNormal="100" zoomScaleSheetLayoutView="85" workbookViewId="0">
      <pane xSplit="5" ySplit="12" topLeftCell="AL37" activePane="bottomRight" state="frozen"/>
      <selection activeCell="H1" sqref="H1"/>
      <selection pane="topRight" activeCell="H1" sqref="H1"/>
      <selection pane="bottomLeft" activeCell="H1" sqref="H1"/>
      <selection pane="bottomRight" activeCell="AQ1" sqref="AQ1:AQ1048576"/>
    </sheetView>
  </sheetViews>
  <sheetFormatPr defaultColWidth="10.7265625" defaultRowHeight="11.5"/>
  <cols>
    <col min="1" max="1" width="5.7265625" style="192" customWidth="1"/>
    <col min="2" max="3" width="1.7265625" style="168" customWidth="1"/>
    <col min="4" max="4" width="28.7265625" style="168" customWidth="1"/>
    <col min="5" max="5" width="17.26953125" style="170" customWidth="1"/>
    <col min="6" max="42" width="20.453125" style="170" customWidth="1"/>
    <col min="43" max="16384" width="10.7265625" style="168"/>
  </cols>
  <sheetData>
    <row r="1" spans="1:42">
      <c r="F1" s="221" t="s">
        <v>214</v>
      </c>
      <c r="G1" s="221" t="s">
        <v>214</v>
      </c>
      <c r="H1" s="221" t="s">
        <v>214</v>
      </c>
      <c r="I1" s="221" t="s">
        <v>214</v>
      </c>
      <c r="J1" s="221" t="s">
        <v>214</v>
      </c>
      <c r="K1" s="221" t="s">
        <v>214</v>
      </c>
      <c r="L1" s="221" t="s">
        <v>214</v>
      </c>
      <c r="M1" s="221" t="s">
        <v>214</v>
      </c>
      <c r="N1" s="221" t="s">
        <v>214</v>
      </c>
      <c r="O1" s="221" t="s">
        <v>214</v>
      </c>
      <c r="P1" s="221" t="s">
        <v>214</v>
      </c>
      <c r="Q1" s="221" t="s">
        <v>214</v>
      </c>
      <c r="R1" s="221" t="s">
        <v>214</v>
      </c>
      <c r="S1" s="221" t="s">
        <v>214</v>
      </c>
      <c r="T1" s="221" t="s">
        <v>214</v>
      </c>
      <c r="U1" s="221" t="s">
        <v>214</v>
      </c>
      <c r="V1" s="221" t="s">
        <v>214</v>
      </c>
      <c r="W1" s="221" t="s">
        <v>214</v>
      </c>
      <c r="X1" s="221" t="s">
        <v>214</v>
      </c>
      <c r="Y1" s="221" t="s">
        <v>214</v>
      </c>
      <c r="Z1" s="221" t="s">
        <v>214</v>
      </c>
      <c r="AA1" s="221" t="s">
        <v>214</v>
      </c>
      <c r="AB1" s="221" t="s">
        <v>214</v>
      </c>
      <c r="AC1" s="221" t="s">
        <v>214</v>
      </c>
      <c r="AD1" s="221" t="s">
        <v>214</v>
      </c>
      <c r="AE1" s="221" t="s">
        <v>214</v>
      </c>
      <c r="AF1" s="221" t="s">
        <v>214</v>
      </c>
      <c r="AG1" s="221" t="s">
        <v>214</v>
      </c>
      <c r="AH1" s="221" t="s">
        <v>214</v>
      </c>
      <c r="AI1" s="221" t="s">
        <v>214</v>
      </c>
      <c r="AJ1" s="221" t="s">
        <v>214</v>
      </c>
      <c r="AK1" s="221" t="s">
        <v>214</v>
      </c>
      <c r="AL1" s="221" t="s">
        <v>214</v>
      </c>
      <c r="AM1" s="221" t="s">
        <v>214</v>
      </c>
      <c r="AN1" s="221" t="s">
        <v>214</v>
      </c>
      <c r="AO1" s="221" t="s">
        <v>214</v>
      </c>
      <c r="AP1" s="221" t="s">
        <v>214</v>
      </c>
    </row>
    <row r="2" spans="1:42" ht="12.75" customHeight="1">
      <c r="A2" s="167" t="str">
        <f>'ROO INPUT'!A3:C3</f>
        <v>AVISTA UTILITIES</v>
      </c>
      <c r="E2" s="169"/>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row>
    <row r="3" spans="1:42" ht="12.75" customHeight="1">
      <c r="A3" s="167" t="str">
        <f>'ROO INPUT'!A4:C4</f>
        <v xml:space="preserve">WASHINGTON NATURAL GAS RESULTS </v>
      </c>
      <c r="E3" s="169"/>
    </row>
    <row r="4" spans="1:42" ht="12.75" customHeight="1">
      <c r="A4" s="167" t="str">
        <f>'ROO INPUT'!A5:C5</f>
        <v>TWELVE MONTHS ENDED SEPTEMBER 30, 2015</v>
      </c>
      <c r="E4" s="172"/>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row>
    <row r="5" spans="1:42">
      <c r="A5" s="167" t="str">
        <f>'ROO INPUT'!A6:C6</f>
        <v xml:space="preserve">(000'S OF DOLLARS)   </v>
      </c>
      <c r="B5" s="167"/>
      <c r="C5" s="167"/>
      <c r="D5" s="167"/>
      <c r="E5" s="167"/>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row>
    <row r="6" spans="1:42" ht="12.75" customHeight="1">
      <c r="A6" s="167"/>
    </row>
    <row r="7" spans="1:42" s="175" customFormat="1">
      <c r="A7" s="174"/>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row>
    <row r="8" spans="1:42" s="175" customFormat="1" ht="12" customHeight="1">
      <c r="A8" s="177"/>
      <c r="B8" s="178"/>
      <c r="C8" s="179"/>
      <c r="D8" s="180"/>
      <c r="E8" s="181" t="str">
        <f>'ADJ DETAIL INPUT'!E7</f>
        <v>Per</v>
      </c>
      <c r="F8" s="181" t="str">
        <f>'ADJ DETAIL INPUT'!F7</f>
        <v xml:space="preserve">Deferred </v>
      </c>
      <c r="G8" s="181" t="str">
        <f>'ADJ DETAIL INPUT'!G7</f>
        <v>Deferred Debits</v>
      </c>
      <c r="H8" s="181" t="str">
        <f>'ADJ DETAIL INPUT'!H7</f>
        <v>Working</v>
      </c>
      <c r="I8" s="181" t="str">
        <f>'ADJ DETAIL INPUT'!I7</f>
        <v xml:space="preserve">Eliminate </v>
      </c>
      <c r="J8" s="181" t="str">
        <f>'ADJ DETAIL INPUT'!J7</f>
        <v>Restate</v>
      </c>
      <c r="K8" s="181" t="str">
        <f>'ADJ DETAIL INPUT'!K7</f>
        <v>Uncollectible</v>
      </c>
      <c r="L8" s="181" t="str">
        <f>'ADJ DETAIL INPUT'!L7</f>
        <v>Regulatory</v>
      </c>
      <c r="M8" s="181" t="str">
        <f>'ADJ DETAIL INPUT'!M7</f>
        <v>Injuries</v>
      </c>
      <c r="N8" s="181" t="str">
        <f>'ADJ DETAIL INPUT'!N7</f>
        <v xml:space="preserve">FIT / </v>
      </c>
      <c r="O8" s="181" t="str">
        <f>'ADJ DETAIL INPUT'!O7</f>
        <v>Office Space</v>
      </c>
      <c r="P8" s="181" t="str">
        <f>'ADJ DETAIL INPUT'!P7</f>
        <v>Restate</v>
      </c>
      <c r="Q8" s="181" t="str">
        <f>'ADJ DETAIL INPUT'!Q7</f>
        <v>Net</v>
      </c>
      <c r="R8" s="181" t="str">
        <f>'ADJ DETAIL INPUT'!R7</f>
        <v xml:space="preserve">Weather </v>
      </c>
      <c r="S8" s="181" t="str">
        <f>'ADJ DETAIL INPUT'!S7</f>
        <v>Eliminate</v>
      </c>
      <c r="T8" s="181" t="str">
        <f>'ADJ DETAIL INPUT'!T7</f>
        <v>Misc</v>
      </c>
      <c r="U8" s="181" t="str">
        <f>'ADJ DETAIL INPUT'!U7</f>
        <v>Restate</v>
      </c>
      <c r="V8" s="181" t="str">
        <f>'ADJ DETAIL INPUT'!V7</f>
        <v>Restating</v>
      </c>
      <c r="W8" s="181" t="str">
        <f>'ADJ DETAIL INPUT'!W7</f>
        <v xml:space="preserve">Project </v>
      </c>
      <c r="X8" s="181" t="str">
        <f>'ADJ DETAIL INPUT'!Y7</f>
        <v>Pro Forma</v>
      </c>
      <c r="Y8" s="181" t="str">
        <f>'ADJ DETAIL INPUT'!Z7</f>
        <v>Pro Forma</v>
      </c>
      <c r="Z8" s="181" t="str">
        <f>'ADJ DETAIL INPUT'!AA7</f>
        <v>Pro Forma</v>
      </c>
      <c r="AA8" s="181" t="str">
        <f>'ADJ DETAIL INPUT'!AB7</f>
        <v xml:space="preserve">Pro Forma </v>
      </c>
      <c r="AB8" s="181" t="str">
        <f>'ADJ DETAIL INPUT'!AC7</f>
        <v>Pro Forma</v>
      </c>
      <c r="AC8" s="181" t="str">
        <f>'ADJ DETAIL INPUT'!AD7</f>
        <v>Pro Forma</v>
      </c>
      <c r="AD8" s="181" t="str">
        <f>'ADJ DETAIL INPUT'!AE7</f>
        <v xml:space="preserve">Pro Forma </v>
      </c>
      <c r="AE8" s="181" t="str">
        <f>'ADJ DETAIL INPUT'!AF7</f>
        <v>Pro Forma</v>
      </c>
      <c r="AF8" s="181" t="str">
        <f>'ADJ DETAIL INPUT'!AG7</f>
        <v>Pro Forma</v>
      </c>
      <c r="AG8" s="181" t="str">
        <f>'ADJ DETAIL INPUT'!AH7</f>
        <v xml:space="preserve">Pro Forma </v>
      </c>
      <c r="AH8" s="181" t="str">
        <f>'ADJ DETAIL INPUT'!AI7</f>
        <v>Pro Forma</v>
      </c>
      <c r="AI8" s="181" t="str">
        <f>'ADJ DETAIL INPUT'!AL7</f>
        <v>Cross Check</v>
      </c>
      <c r="AJ8" s="181" t="str">
        <f>'ADJ DETAIL INPUT'!AM7</f>
        <v>Cross Check</v>
      </c>
      <c r="AK8" s="181" t="str">
        <f>'ADJ DETAIL INPUT'!AN7</f>
        <v>Cross Check</v>
      </c>
      <c r="AL8" s="181" t="str">
        <f>'ADJ DETAIL INPUT'!AO7</f>
        <v>Cross Check</v>
      </c>
      <c r="AM8" s="181" t="str">
        <f>'ADJ DETAIL INPUT'!AP7</f>
        <v>Cross Check</v>
      </c>
      <c r="AN8" s="181" t="str">
        <f>'ADJ DETAIL INPUT'!AQ7</f>
        <v>Cross Check</v>
      </c>
      <c r="AO8" s="181" t="str">
        <f>'ADJ DETAIL INPUT'!AR7</f>
        <v>Cross Check</v>
      </c>
      <c r="AP8" s="181" t="str">
        <f>'ADJ DETAIL INPUT'!AT7</f>
        <v>Reconcile 2017</v>
      </c>
    </row>
    <row r="9" spans="1:42" s="175" customFormat="1">
      <c r="A9" s="182" t="s">
        <v>7</v>
      </c>
      <c r="B9" s="183"/>
      <c r="C9" s="184"/>
      <c r="D9" s="185"/>
      <c r="E9" s="186" t="str">
        <f>'ADJ DETAIL INPUT'!E8</f>
        <v xml:space="preserve">Results </v>
      </c>
      <c r="F9" s="186" t="str">
        <f>'ADJ DETAIL INPUT'!F8</f>
        <v>FIT</v>
      </c>
      <c r="G9" s="186" t="str">
        <f>'ADJ DETAIL INPUT'!G8</f>
        <v xml:space="preserve">and </v>
      </c>
      <c r="H9" s="186" t="str">
        <f>'ADJ DETAIL INPUT'!H8</f>
        <v>Capital</v>
      </c>
      <c r="I9" s="186" t="str">
        <f>'ADJ DETAIL INPUT'!I8</f>
        <v xml:space="preserve">B &amp; O </v>
      </c>
      <c r="J9" s="186" t="str">
        <f>'ADJ DETAIL INPUT'!J8</f>
        <v>Property</v>
      </c>
      <c r="K9" s="186" t="str">
        <f>'ADJ DETAIL INPUT'!K8</f>
        <v>Expense</v>
      </c>
      <c r="L9" s="186" t="str">
        <f>'ADJ DETAIL INPUT'!L8</f>
        <v>Expense</v>
      </c>
      <c r="M9" s="186" t="str">
        <f>'ADJ DETAIL INPUT'!M8</f>
        <v xml:space="preserve">and </v>
      </c>
      <c r="N9" s="186" t="str">
        <f>'ADJ DETAIL INPUT'!N8</f>
        <v xml:space="preserve">DFIT </v>
      </c>
      <c r="O9" s="186" t="str">
        <f>'ADJ DETAIL INPUT'!O8</f>
        <v>Charges to</v>
      </c>
      <c r="P9" s="186" t="str">
        <f>'ADJ DETAIL INPUT'!P8</f>
        <v>Excise</v>
      </c>
      <c r="Q9" s="186" t="str">
        <f>'ADJ DETAIL INPUT'!Q8</f>
        <v>Gains/Losses</v>
      </c>
      <c r="R9" s="186" t="str">
        <f>'ADJ DETAIL INPUT'!R8</f>
        <v>Normalization /</v>
      </c>
      <c r="S9" s="186" t="str">
        <f>'ADJ DETAIL INPUT'!S8</f>
        <v>Adder</v>
      </c>
      <c r="T9" s="186" t="str">
        <f>'ADJ DETAIL INPUT'!T8</f>
        <v>Restating</v>
      </c>
      <c r="U9" s="186" t="str">
        <f>'ADJ DETAIL INPUT'!U8</f>
        <v>Debt</v>
      </c>
      <c r="V9" s="186" t="str">
        <f>'ADJ DETAIL INPUT'!V8</f>
        <v>Incentive</v>
      </c>
      <c r="W9" s="186" t="str">
        <f>'ADJ DETAIL INPUT'!W8</f>
        <v>Compass</v>
      </c>
      <c r="X9" s="186" t="str">
        <f>'ADJ DETAIL INPUT'!Y8</f>
        <v>Labor</v>
      </c>
      <c r="Y9" s="186" t="str">
        <f>'ADJ DETAIL INPUT'!Z8</f>
        <v>Labor</v>
      </c>
      <c r="Z9" s="186" t="str">
        <f>'ADJ DETAIL INPUT'!AA8</f>
        <v>Employee</v>
      </c>
      <c r="AA9" s="186" t="str">
        <f>'ADJ DETAIL INPUT'!AB8</f>
        <v>Pipeline</v>
      </c>
      <c r="AB9" s="186" t="str">
        <f>'ADJ DETAIL INPUT'!AC8</f>
        <v>Property</v>
      </c>
      <c r="AC9" s="186" t="str">
        <f>'ADJ DETAIL INPUT'!AD8</f>
        <v xml:space="preserve"> Revenue</v>
      </c>
      <c r="AD9" s="186" t="str">
        <f>'ADJ DETAIL INPUT'!AE8</f>
        <v>Atmospheric</v>
      </c>
      <c r="AE9" s="186" t="str">
        <f>'ADJ DETAIL INPUT'!AF8</f>
        <v>Regulatory</v>
      </c>
      <c r="AF9" s="186" t="str">
        <f>'ADJ DETAIL INPUT'!AG8</f>
        <v>Capital Add</v>
      </c>
      <c r="AG9" s="186" t="str">
        <f>'ADJ DETAIL INPUT'!AH8</f>
        <v>2016 Limited</v>
      </c>
      <c r="AH9" s="186" t="str">
        <f>'ADJ DETAIL INPUT'!AI8</f>
        <v>O&amp;M</v>
      </c>
      <c r="AI9" s="186" t="str">
        <f>'ADJ DETAIL INPUT'!AL8</f>
        <v>Labor</v>
      </c>
      <c r="AJ9" s="186" t="str">
        <f>'ADJ DETAIL INPUT'!AM8</f>
        <v>Capital Add</v>
      </c>
      <c r="AK9" s="186" t="str">
        <f>'ADJ DETAIL INPUT'!AN8</f>
        <v>Capital Add</v>
      </c>
      <c r="AL9" s="186" t="str">
        <f>'ADJ DETAIL INPUT'!AO8</f>
        <v>2017 AMI</v>
      </c>
      <c r="AM9" s="186" t="str">
        <f>'ADJ DETAIL INPUT'!AP8</f>
        <v xml:space="preserve">Information </v>
      </c>
      <c r="AN9" s="186" t="str">
        <f>'ADJ DETAIL INPUT'!AQ8</f>
        <v>Insurance</v>
      </c>
      <c r="AO9" s="186" t="str">
        <f>'ADJ DETAIL INPUT'!AR8</f>
        <v>Property</v>
      </c>
      <c r="AP9" s="186" t="str">
        <f>'ADJ DETAIL INPUT'!AT8</f>
        <v>Cross Check</v>
      </c>
    </row>
    <row r="10" spans="1:42" s="175" customFormat="1">
      <c r="A10" s="187" t="s">
        <v>17</v>
      </c>
      <c r="B10" s="188"/>
      <c r="C10" s="189"/>
      <c r="D10" s="190" t="s">
        <v>18</v>
      </c>
      <c r="E10" s="191" t="str">
        <f>'ADJ DETAIL INPUT'!E9</f>
        <v>Report</v>
      </c>
      <c r="F10" s="191" t="str">
        <f>'ADJ DETAIL INPUT'!F9</f>
        <v>Rate Base</v>
      </c>
      <c r="G10" s="191" t="str">
        <f>'ADJ DETAIL INPUT'!G9</f>
        <v>Credits</v>
      </c>
      <c r="H10" s="191"/>
      <c r="I10" s="191" t="str">
        <f>'ADJ DETAIL INPUT'!I9</f>
        <v>Taxes</v>
      </c>
      <c r="J10" s="191" t="str">
        <f>'ADJ DETAIL INPUT'!J9</f>
        <v>Tax</v>
      </c>
      <c r="K10" s="191"/>
      <c r="L10" s="191"/>
      <c r="M10" s="191" t="str">
        <f>'ADJ DETAIL INPUT'!M9</f>
        <v>Damages</v>
      </c>
      <c r="N10" s="191" t="str">
        <f>'ADJ DETAIL INPUT'!N9</f>
        <v>Expense</v>
      </c>
      <c r="O10" s="191" t="str">
        <f>'ADJ DETAIL INPUT'!O9</f>
        <v>Subs</v>
      </c>
      <c r="P10" s="191" t="str">
        <f>'ADJ DETAIL INPUT'!P9</f>
        <v>Taxes</v>
      </c>
      <c r="Q10" s="191"/>
      <c r="R10" s="191" t="str">
        <f>'ADJ DETAIL INPUT'!R9</f>
        <v>Gas Cost Adjust</v>
      </c>
      <c r="S10" s="191" t="str">
        <f>'ADJ DETAIL INPUT'!S9</f>
        <v>Schedules</v>
      </c>
      <c r="T10" s="191" t="str">
        <f>'ADJ DETAIL INPUT'!T9</f>
        <v>Adjustments</v>
      </c>
      <c r="U10" s="191" t="str">
        <f>'ADJ DETAIL INPUT'!U9</f>
        <v>Interest</v>
      </c>
      <c r="V10" s="191" t="str">
        <f>'ADJ DETAIL INPUT'!V9</f>
        <v>Adjustment</v>
      </c>
      <c r="W10" s="191" t="str">
        <f>'ADJ DETAIL INPUT'!W9</f>
        <v>Deferral</v>
      </c>
      <c r="X10" s="191" t="str">
        <f>'ADJ DETAIL INPUT'!Y9</f>
        <v>Non-Exec</v>
      </c>
      <c r="Y10" s="191" t="str">
        <f>'ADJ DETAIL INPUT'!Z9</f>
        <v>Exec</v>
      </c>
      <c r="Z10" s="191" t="str">
        <f>'ADJ DETAIL INPUT'!AA9</f>
        <v>Benefits</v>
      </c>
      <c r="AA10" s="191" t="str">
        <f>'ADJ DETAIL INPUT'!AB9</f>
        <v>Safety Labor</v>
      </c>
      <c r="AB10" s="191" t="str">
        <f>'ADJ DETAIL INPUT'!AC9</f>
        <v>Tax</v>
      </c>
      <c r="AC10" s="191" t="str">
        <f>'ADJ DETAIL INPUT'!AD9</f>
        <v xml:space="preserve">Normalization </v>
      </c>
      <c r="AD10" s="191" t="str">
        <f>'ADJ DETAIL INPUT'!AE9</f>
        <v>Testing</v>
      </c>
      <c r="AE10" s="191" t="str">
        <f>'ADJ DETAIL INPUT'!AF9</f>
        <v>Amortization</v>
      </c>
      <c r="AF10" s="191" t="str">
        <f>'ADJ DETAIL INPUT'!AG9</f>
        <v>Dec 2015 AMA</v>
      </c>
      <c r="AG10" s="191" t="str">
        <f>'ADJ DETAIL INPUT'!AH9</f>
        <v>Capital Adds</v>
      </c>
      <c r="AH10" s="191" t="str">
        <f>'ADJ DETAIL INPUT'!AI9</f>
        <v>Offsets</v>
      </c>
      <c r="AI10" s="191" t="str">
        <f>'ADJ DETAIL INPUT'!AL9</f>
        <v>Non-Exec</v>
      </c>
      <c r="AJ10" s="191" t="str">
        <f>'ADJ DETAIL INPUT'!AM9</f>
        <v>2016 AMA</v>
      </c>
      <c r="AK10" s="191" t="str">
        <f>'ADJ DETAIL INPUT'!AN9</f>
        <v>2017 AMA</v>
      </c>
      <c r="AL10" s="191" t="str">
        <f>'ADJ DETAIL INPUT'!AO9</f>
        <v>Capital &amp; Expense</v>
      </c>
      <c r="AM10" s="191" t="str">
        <f>'ADJ DETAIL INPUT'!AP9</f>
        <v>Tech/Serv Exp</v>
      </c>
      <c r="AN10" s="191" t="str">
        <f>'ADJ DETAIL INPUT'!AQ9</f>
        <v>Expense</v>
      </c>
      <c r="AO10" s="191" t="str">
        <f>'ADJ DETAIL INPUT'!AR9</f>
        <v>Tax Exp</v>
      </c>
      <c r="AP10" s="191" t="str">
        <f>'ADJ DETAIL INPUT'!AT9</f>
        <v>to Attrition</v>
      </c>
    </row>
    <row r="11" spans="1:42" s="175" customFormat="1">
      <c r="A11" s="174"/>
      <c r="B11" s="211" t="s">
        <v>190</v>
      </c>
      <c r="E11" s="212">
        <f>'ADJ DETAIL INPUT'!E10</f>
        <v>1</v>
      </c>
      <c r="F11" s="212">
        <f>'ADJ DETAIL INPUT'!F10</f>
        <v>1.01</v>
      </c>
      <c r="G11" s="212">
        <f>'ADJ DETAIL INPUT'!G10</f>
        <v>1.02</v>
      </c>
      <c r="H11" s="212">
        <f>'ADJ DETAIL INPUT'!H10</f>
        <v>1.03</v>
      </c>
      <c r="I11" s="212">
        <f>'ADJ DETAIL INPUT'!I10</f>
        <v>2.0099999999999998</v>
      </c>
      <c r="J11" s="212">
        <f>'ADJ DETAIL INPUT'!J10</f>
        <v>2.0199999999999996</v>
      </c>
      <c r="K11" s="212">
        <f>'ADJ DETAIL INPUT'!K10</f>
        <v>2.0299999999999994</v>
      </c>
      <c r="L11" s="212">
        <f>'ADJ DETAIL INPUT'!L10</f>
        <v>2.0399999999999991</v>
      </c>
      <c r="M11" s="212">
        <f>'ADJ DETAIL INPUT'!M10</f>
        <v>2.0499999999999989</v>
      </c>
      <c r="N11" s="212">
        <f>'ADJ DETAIL INPUT'!N10</f>
        <v>2.0599999999999987</v>
      </c>
      <c r="O11" s="212">
        <f>'ADJ DETAIL INPUT'!O10</f>
        <v>2.0699999999999985</v>
      </c>
      <c r="P11" s="212">
        <f>'ADJ DETAIL INPUT'!P10</f>
        <v>2.0799999999999983</v>
      </c>
      <c r="Q11" s="212">
        <f>'ADJ DETAIL INPUT'!Q10</f>
        <v>2.0899999999999981</v>
      </c>
      <c r="R11" s="212">
        <f>'ADJ DETAIL INPUT'!R10</f>
        <v>2.0999999999999979</v>
      </c>
      <c r="S11" s="212">
        <f>'ADJ DETAIL INPUT'!S10</f>
        <v>2.1099999999999977</v>
      </c>
      <c r="T11" s="212">
        <f>'ADJ DETAIL INPUT'!T10</f>
        <v>2.1199999999999974</v>
      </c>
      <c r="U11" s="212">
        <f>'ADJ DETAIL INPUT'!U10</f>
        <v>2.1299999999999972</v>
      </c>
      <c r="V11" s="212">
        <f>'ADJ DETAIL INPUT'!V10</f>
        <v>2.139999999999997</v>
      </c>
      <c r="W11" s="212">
        <f>'ADJ DETAIL INPUT'!W10</f>
        <v>2.1499999999999968</v>
      </c>
      <c r="X11" s="212">
        <f>'ADJ DETAIL INPUT'!Y10</f>
        <v>3</v>
      </c>
      <c r="Y11" s="212">
        <f>'ADJ DETAIL INPUT'!Z10</f>
        <v>3.01</v>
      </c>
      <c r="Z11" s="212">
        <f>'ADJ DETAIL INPUT'!AA10</f>
        <v>3.0199999999999996</v>
      </c>
      <c r="AA11" s="212">
        <f>'ADJ DETAIL INPUT'!AB10</f>
        <v>3.0299999999999994</v>
      </c>
      <c r="AB11" s="212">
        <f>'ADJ DETAIL INPUT'!AC10</f>
        <v>3.0399999999999991</v>
      </c>
      <c r="AC11" s="212">
        <f>'ADJ DETAIL INPUT'!AD10</f>
        <v>3.0499999999999989</v>
      </c>
      <c r="AD11" s="212">
        <f>'ADJ DETAIL INPUT'!AE10</f>
        <v>3.0599999999999987</v>
      </c>
      <c r="AE11" s="212">
        <f>'ADJ DETAIL INPUT'!AF10</f>
        <v>3.0699999999999985</v>
      </c>
      <c r="AF11" s="212">
        <f>'ADJ DETAIL INPUT'!AG10</f>
        <v>3.0799999999999983</v>
      </c>
      <c r="AG11" s="212">
        <f>'ADJ DETAIL INPUT'!AH10</f>
        <v>3.0899999999999981</v>
      </c>
      <c r="AH11" s="212">
        <f>'ADJ DETAIL INPUT'!AI10</f>
        <v>3.0999999999999979</v>
      </c>
      <c r="AI11" s="212">
        <f>'ADJ DETAIL INPUT'!AL10</f>
        <v>4</v>
      </c>
      <c r="AJ11" s="212">
        <f>'ADJ DETAIL INPUT'!AM10</f>
        <v>4.01</v>
      </c>
      <c r="AK11" s="212">
        <f>'ADJ DETAIL INPUT'!AN10</f>
        <v>4.0199999999999996</v>
      </c>
      <c r="AL11" s="212">
        <f>'ADJ DETAIL INPUT'!AO10</f>
        <v>4.0299999999999994</v>
      </c>
      <c r="AM11" s="212">
        <f>'ADJ DETAIL INPUT'!AP10</f>
        <v>4.0399999999999991</v>
      </c>
      <c r="AN11" s="212">
        <f>'ADJ DETAIL INPUT'!AQ10</f>
        <v>4.0499999999999989</v>
      </c>
      <c r="AO11" s="212">
        <f>'ADJ DETAIL INPUT'!AR10</f>
        <v>4.0599999999999987</v>
      </c>
      <c r="AP11" s="212">
        <f>'ADJ DETAIL INPUT'!AT10</f>
        <v>4.0699999999999985</v>
      </c>
    </row>
    <row r="12" spans="1:42" s="175" customFormat="1">
      <c r="A12" s="174"/>
      <c r="B12" s="211" t="s">
        <v>191</v>
      </c>
      <c r="E12" s="176" t="str">
        <f>'ADJ DETAIL INPUT'!E11</f>
        <v>G-ROO</v>
      </c>
      <c r="F12" s="176" t="str">
        <f>'ADJ DETAIL INPUT'!F11</f>
        <v>G-DFIT</v>
      </c>
      <c r="G12" s="176" t="str">
        <f>'ADJ DETAIL INPUT'!G11</f>
        <v>G-DDC</v>
      </c>
      <c r="H12" s="176" t="str">
        <f>'ADJ DETAIL INPUT'!H11</f>
        <v>G-WC</v>
      </c>
      <c r="I12" s="176" t="str">
        <f>'ADJ DETAIL INPUT'!I11</f>
        <v>G-EBO</v>
      </c>
      <c r="J12" s="176" t="str">
        <f>'ADJ DETAIL INPUT'!J11</f>
        <v>G-RPT</v>
      </c>
      <c r="K12" s="176" t="str">
        <f>'ADJ DETAIL INPUT'!K11</f>
        <v>G-UE</v>
      </c>
      <c r="L12" s="176" t="str">
        <f>'ADJ DETAIL INPUT'!L11</f>
        <v>G-RE</v>
      </c>
      <c r="M12" s="176" t="str">
        <f>'ADJ DETAIL INPUT'!M11</f>
        <v>G-ID</v>
      </c>
      <c r="N12" s="176" t="str">
        <f>'ADJ DETAIL INPUT'!N11</f>
        <v>G-FIT</v>
      </c>
      <c r="O12" s="176" t="str">
        <f>'ADJ DETAIL INPUT'!O11</f>
        <v>G-OSC</v>
      </c>
      <c r="P12" s="176" t="str">
        <f>'ADJ DETAIL INPUT'!P11</f>
        <v>G-RET</v>
      </c>
      <c r="Q12" s="176" t="str">
        <f>'ADJ DETAIL INPUT'!Q11</f>
        <v>G-NGL</v>
      </c>
      <c r="R12" s="176" t="str">
        <f>'ADJ DETAIL INPUT'!R11</f>
        <v>G-WNGC</v>
      </c>
      <c r="S12" s="176" t="str">
        <f>'ADJ DETAIL INPUT'!S11</f>
        <v>G-EAS</v>
      </c>
      <c r="T12" s="176" t="str">
        <f>'ADJ DETAIL INPUT'!T11</f>
        <v>G-MR</v>
      </c>
      <c r="U12" s="176" t="str">
        <f>'ADJ DETAIL INPUT'!U11</f>
        <v>G-DI</v>
      </c>
      <c r="V12" s="176" t="str">
        <f>'ADJ DETAIL INPUT'!V11</f>
        <v>G-RI</v>
      </c>
      <c r="W12" s="176" t="str">
        <f>'ADJ DETAIL INPUT'!W11</f>
        <v>G-CD</v>
      </c>
      <c r="X12" s="176" t="str">
        <f>'ADJ DETAIL INPUT'!Y11</f>
        <v>G-PLN</v>
      </c>
      <c r="Y12" s="176" t="str">
        <f>'ADJ DETAIL INPUT'!Z11</f>
        <v>G-PLE</v>
      </c>
      <c r="Z12" s="176" t="str">
        <f>'ADJ DETAIL INPUT'!AA11</f>
        <v>G-PEB</v>
      </c>
      <c r="AA12" s="176" t="str">
        <f>'ADJ DETAIL INPUT'!AB11</f>
        <v>G-PPS</v>
      </c>
      <c r="AB12" s="176" t="str">
        <f>'ADJ DETAIL INPUT'!AC11</f>
        <v>G-PPT</v>
      </c>
      <c r="AC12" s="176" t="str">
        <f>'ADJ DETAIL INPUT'!AD11</f>
        <v>G-PREV</v>
      </c>
      <c r="AD12" s="176" t="str">
        <f>'ADJ DETAIL INPUT'!AE11</f>
        <v>G-PAT</v>
      </c>
      <c r="AE12" s="176" t="str">
        <f>'ADJ DETAIL INPUT'!AF11</f>
        <v>G-PRA</v>
      </c>
      <c r="AF12" s="176" t="str">
        <f>'ADJ DETAIL INPUT'!AG11</f>
        <v>G-PCAP15</v>
      </c>
      <c r="AG12" s="176" t="str">
        <f>'ADJ DETAIL INPUT'!AH11</f>
        <v>G-PCAP16</v>
      </c>
      <c r="AH12" s="176" t="str">
        <f>'ADJ DETAIL INPUT'!AI11</f>
        <v>G-POFF</v>
      </c>
      <c r="AI12" s="176" t="str">
        <f>'ADJ DETAIL INPUT'!AL11</f>
        <v>G-CLN</v>
      </c>
      <c r="AJ12" s="176" t="str">
        <f>'ADJ DETAIL INPUT'!AM11</f>
        <v>G-CCAP16</v>
      </c>
      <c r="AK12" s="176" t="str">
        <f>'ADJ DETAIL INPUT'!AN11</f>
        <v>G-CCAP17</v>
      </c>
      <c r="AL12" s="176" t="str">
        <f>'ADJ DETAIL INPUT'!AO11</f>
        <v>G-CAMI</v>
      </c>
      <c r="AM12" s="176" t="str">
        <f>'ADJ DETAIL INPUT'!AP11</f>
        <v>G-CIS</v>
      </c>
      <c r="AN12" s="176" t="str">
        <f>'ADJ DETAIL INPUT'!AQ11</f>
        <v>G-CI</v>
      </c>
      <c r="AO12" s="176" t="str">
        <f>'ADJ DETAIL INPUT'!AR11</f>
        <v>G-CPT</v>
      </c>
      <c r="AP12" s="176" t="str">
        <f>'ADJ DETAIL INPUT'!AT11</f>
        <v>G-CREC</v>
      </c>
    </row>
    <row r="14" spans="1:42">
      <c r="B14" s="168" t="s">
        <v>34</v>
      </c>
    </row>
    <row r="15" spans="1:42" s="193" customFormat="1">
      <c r="A15" s="192">
        <v>1</v>
      </c>
      <c r="B15" s="193" t="s">
        <v>35</v>
      </c>
      <c r="E15" s="278">
        <f>'ADJ DETAIL INPUT'!E14</f>
        <v>152492</v>
      </c>
      <c r="F15" s="278">
        <f>'ADJ DETAIL INPUT'!F14</f>
        <v>0</v>
      </c>
      <c r="G15" s="278">
        <f>'ADJ DETAIL INPUT'!G14</f>
        <v>0</v>
      </c>
      <c r="H15" s="278">
        <f>'ADJ DETAIL INPUT'!H14</f>
        <v>0</v>
      </c>
      <c r="I15" s="278">
        <f>'ADJ DETAIL INPUT'!I14</f>
        <v>-5520</v>
      </c>
      <c r="J15" s="278">
        <f>'ADJ DETAIL INPUT'!J14</f>
        <v>0</v>
      </c>
      <c r="K15" s="278">
        <f>'ADJ DETAIL INPUT'!K14</f>
        <v>0</v>
      </c>
      <c r="L15" s="278">
        <f>'ADJ DETAIL INPUT'!L14</f>
        <v>0</v>
      </c>
      <c r="M15" s="278">
        <f>'ADJ DETAIL INPUT'!M14</f>
        <v>0</v>
      </c>
      <c r="N15" s="278">
        <f>'ADJ DETAIL INPUT'!N14</f>
        <v>0</v>
      </c>
      <c r="O15" s="278">
        <f>'ADJ DETAIL INPUT'!O14</f>
        <v>0</v>
      </c>
      <c r="P15" s="278">
        <f>'ADJ DETAIL INPUT'!P14</f>
        <v>0</v>
      </c>
      <c r="Q15" s="278">
        <f>'ADJ DETAIL INPUT'!Q14</f>
        <v>0</v>
      </c>
      <c r="R15" s="278">
        <f>'ADJ DETAIL INPUT'!R14</f>
        <v>12984</v>
      </c>
      <c r="S15" s="278">
        <f>'ADJ DETAIL INPUT'!S14</f>
        <v>-3325</v>
      </c>
      <c r="T15" s="278">
        <f>'ADJ DETAIL INPUT'!T14</f>
        <v>0</v>
      </c>
      <c r="U15" s="278">
        <f>'ADJ DETAIL INPUT'!U14</f>
        <v>0</v>
      </c>
      <c r="V15" s="278">
        <f>'ADJ DETAIL INPUT'!V14</f>
        <v>0</v>
      </c>
      <c r="W15" s="278">
        <f>'ADJ DETAIL INPUT'!W14</f>
        <v>0</v>
      </c>
      <c r="X15" s="278">
        <f>'ADJ DETAIL INPUT'!Y14</f>
        <v>0</v>
      </c>
      <c r="Y15" s="278">
        <f>'ADJ DETAIL INPUT'!Z14</f>
        <v>0</v>
      </c>
      <c r="Z15" s="278">
        <f>'ADJ DETAIL INPUT'!AA14</f>
        <v>0</v>
      </c>
      <c r="AA15" s="278">
        <f>'ADJ DETAIL INPUT'!AB14</f>
        <v>0</v>
      </c>
      <c r="AB15" s="278">
        <f>'ADJ DETAIL INPUT'!AC14</f>
        <v>0</v>
      </c>
      <c r="AC15" s="278">
        <f>'ADJ DETAIL INPUT'!AD14</f>
        <v>-72574</v>
      </c>
      <c r="AD15" s="278">
        <f>'ADJ DETAIL INPUT'!AE14</f>
        <v>0</v>
      </c>
      <c r="AE15" s="278">
        <f>'ADJ DETAIL INPUT'!AF14</f>
        <v>0</v>
      </c>
      <c r="AF15" s="278">
        <f>'ADJ DETAIL INPUT'!AG14</f>
        <v>0</v>
      </c>
      <c r="AG15" s="278">
        <f>'ADJ DETAIL INPUT'!AH14</f>
        <v>0</v>
      </c>
      <c r="AH15" s="278">
        <f>'ADJ DETAIL INPUT'!AI14</f>
        <v>0</v>
      </c>
      <c r="AI15" s="278">
        <f>'ADJ DETAIL INPUT'!AL14</f>
        <v>0</v>
      </c>
      <c r="AJ15" s="278">
        <f>'ADJ DETAIL INPUT'!AM14</f>
        <v>0</v>
      </c>
      <c r="AK15" s="278">
        <f>'ADJ DETAIL INPUT'!AN14</f>
        <v>0</v>
      </c>
      <c r="AL15" s="278">
        <f>'ADJ DETAIL INPUT'!AO14</f>
        <v>0</v>
      </c>
      <c r="AM15" s="278">
        <f>'ADJ DETAIL INPUT'!AP14</f>
        <v>0</v>
      </c>
      <c r="AN15" s="278">
        <f>'ADJ DETAIL INPUT'!AQ14</f>
        <v>0</v>
      </c>
      <c r="AO15" s="278">
        <f>'ADJ DETAIL INPUT'!AR14</f>
        <v>0</v>
      </c>
      <c r="AP15" s="278">
        <f>'ADJ DETAIL INPUT'!AT14</f>
        <v>0</v>
      </c>
    </row>
    <row r="16" spans="1:42">
      <c r="A16" s="192">
        <v>2</v>
      </c>
      <c r="B16" s="194" t="s">
        <v>36</v>
      </c>
      <c r="D16" s="194"/>
      <c r="E16" s="215">
        <f>'ADJ DETAIL INPUT'!E15</f>
        <v>4114</v>
      </c>
      <c r="F16" s="215">
        <f>'ADJ DETAIL INPUT'!F15</f>
        <v>0</v>
      </c>
      <c r="G16" s="215">
        <f>'ADJ DETAIL INPUT'!G15</f>
        <v>0</v>
      </c>
      <c r="H16" s="215">
        <f>'ADJ DETAIL INPUT'!H15</f>
        <v>0</v>
      </c>
      <c r="I16" s="215">
        <f>'ADJ DETAIL INPUT'!I15</f>
        <v>-106</v>
      </c>
      <c r="J16" s="215">
        <f>'ADJ DETAIL INPUT'!J15</f>
        <v>0</v>
      </c>
      <c r="K16" s="215">
        <f>'ADJ DETAIL INPUT'!K15</f>
        <v>0</v>
      </c>
      <c r="L16" s="215">
        <f>'ADJ DETAIL INPUT'!L15</f>
        <v>0</v>
      </c>
      <c r="M16" s="215">
        <f>'ADJ DETAIL INPUT'!M15</f>
        <v>0</v>
      </c>
      <c r="N16" s="215">
        <f>'ADJ DETAIL INPUT'!N15</f>
        <v>0</v>
      </c>
      <c r="O16" s="215">
        <f>'ADJ DETAIL INPUT'!O15</f>
        <v>0</v>
      </c>
      <c r="P16" s="215">
        <f>'ADJ DETAIL INPUT'!P15</f>
        <v>0</v>
      </c>
      <c r="Q16" s="215">
        <f>'ADJ DETAIL INPUT'!Q15</f>
        <v>0</v>
      </c>
      <c r="R16" s="215">
        <f>'ADJ DETAIL INPUT'!R15</f>
        <v>0</v>
      </c>
      <c r="S16" s="215">
        <f>'ADJ DETAIL INPUT'!S15</f>
        <v>0</v>
      </c>
      <c r="T16" s="215">
        <f>'ADJ DETAIL INPUT'!T15</f>
        <v>0</v>
      </c>
      <c r="U16" s="215">
        <f>'ADJ DETAIL INPUT'!U15</f>
        <v>0</v>
      </c>
      <c r="V16" s="215">
        <f>'ADJ DETAIL INPUT'!V15</f>
        <v>0</v>
      </c>
      <c r="W16" s="215">
        <f>'ADJ DETAIL INPUT'!W15</f>
        <v>0</v>
      </c>
      <c r="X16" s="215">
        <f>'ADJ DETAIL INPUT'!Y15</f>
        <v>0</v>
      </c>
      <c r="Y16" s="215">
        <f>'ADJ DETAIL INPUT'!Z15</f>
        <v>0</v>
      </c>
      <c r="Z16" s="215">
        <f>'ADJ DETAIL INPUT'!AA15</f>
        <v>0</v>
      </c>
      <c r="AA16" s="215">
        <f>'ADJ DETAIL INPUT'!AB15</f>
        <v>0</v>
      </c>
      <c r="AB16" s="215">
        <f>'ADJ DETAIL INPUT'!AC15</f>
        <v>0</v>
      </c>
      <c r="AC16" s="215">
        <f>'ADJ DETAIL INPUT'!AD15</f>
        <v>408</v>
      </c>
      <c r="AD16" s="215">
        <f>'ADJ DETAIL INPUT'!AE15</f>
        <v>0</v>
      </c>
      <c r="AE16" s="215">
        <f>'ADJ DETAIL INPUT'!AF15</f>
        <v>0</v>
      </c>
      <c r="AF16" s="215">
        <f>'ADJ DETAIL INPUT'!AG15</f>
        <v>0</v>
      </c>
      <c r="AG16" s="215">
        <f>'ADJ DETAIL INPUT'!AH15</f>
        <v>0</v>
      </c>
      <c r="AH16" s="215">
        <f>'ADJ DETAIL INPUT'!AI15</f>
        <v>0</v>
      </c>
      <c r="AI16" s="215">
        <f>'ADJ DETAIL INPUT'!AL15</f>
        <v>0</v>
      </c>
      <c r="AJ16" s="215">
        <f>'ADJ DETAIL INPUT'!AM15</f>
        <v>0</v>
      </c>
      <c r="AK16" s="215">
        <f>'ADJ DETAIL INPUT'!AN15</f>
        <v>0</v>
      </c>
      <c r="AL16" s="215">
        <f>'ADJ DETAIL INPUT'!AO15</f>
        <v>0</v>
      </c>
      <c r="AM16" s="215">
        <f>'ADJ DETAIL INPUT'!AP15</f>
        <v>0</v>
      </c>
      <c r="AN16" s="215">
        <f>'ADJ DETAIL INPUT'!AQ15</f>
        <v>0</v>
      </c>
      <c r="AO16" s="215">
        <f>'ADJ DETAIL INPUT'!AR15</f>
        <v>0</v>
      </c>
      <c r="AP16" s="215">
        <f>'ADJ DETAIL INPUT'!AT15</f>
        <v>0</v>
      </c>
    </row>
    <row r="17" spans="1:42">
      <c r="A17" s="192">
        <v>3</v>
      </c>
      <c r="B17" s="194" t="s">
        <v>37</v>
      </c>
      <c r="D17" s="194"/>
      <c r="E17" s="216">
        <f>'ADJ DETAIL INPUT'!E16</f>
        <v>105088</v>
      </c>
      <c r="F17" s="216">
        <f>'ADJ DETAIL INPUT'!F16</f>
        <v>0</v>
      </c>
      <c r="G17" s="216">
        <f>'ADJ DETAIL INPUT'!G16</f>
        <v>0</v>
      </c>
      <c r="H17" s="216">
        <f>'ADJ DETAIL INPUT'!H16</f>
        <v>0</v>
      </c>
      <c r="I17" s="216">
        <f>'ADJ DETAIL INPUT'!I16</f>
        <v>0</v>
      </c>
      <c r="J17" s="216">
        <f>'ADJ DETAIL INPUT'!J16</f>
        <v>0</v>
      </c>
      <c r="K17" s="216">
        <f>'ADJ DETAIL INPUT'!K16</f>
        <v>0</v>
      </c>
      <c r="L17" s="216">
        <f>'ADJ DETAIL INPUT'!L16</f>
        <v>0</v>
      </c>
      <c r="M17" s="216">
        <f>'ADJ DETAIL INPUT'!M16</f>
        <v>0</v>
      </c>
      <c r="N17" s="216">
        <f>'ADJ DETAIL INPUT'!N16</f>
        <v>0</v>
      </c>
      <c r="O17" s="216">
        <f>'ADJ DETAIL INPUT'!O16</f>
        <v>0</v>
      </c>
      <c r="P17" s="216">
        <f>'ADJ DETAIL INPUT'!P16</f>
        <v>0</v>
      </c>
      <c r="Q17" s="216">
        <f>'ADJ DETAIL INPUT'!Q16</f>
        <v>0</v>
      </c>
      <c r="R17" s="216">
        <f>'ADJ DETAIL INPUT'!R16</f>
        <v>0</v>
      </c>
      <c r="S17" s="216">
        <f>'ADJ DETAIL INPUT'!S16</f>
        <v>-99392</v>
      </c>
      <c r="T17" s="216">
        <f>'ADJ DETAIL INPUT'!T16</f>
        <v>0</v>
      </c>
      <c r="U17" s="216">
        <f>'ADJ DETAIL INPUT'!U16</f>
        <v>0</v>
      </c>
      <c r="V17" s="216">
        <f>'ADJ DETAIL INPUT'!V16</f>
        <v>0</v>
      </c>
      <c r="W17" s="216">
        <f>'ADJ DETAIL INPUT'!W16</f>
        <v>0</v>
      </c>
      <c r="X17" s="216">
        <f>'ADJ DETAIL INPUT'!Y16</f>
        <v>0</v>
      </c>
      <c r="Y17" s="216">
        <f>'ADJ DETAIL INPUT'!Z16</f>
        <v>0</v>
      </c>
      <c r="Z17" s="216">
        <f>'ADJ DETAIL INPUT'!AA16</f>
        <v>0</v>
      </c>
      <c r="AA17" s="216">
        <f>'ADJ DETAIL INPUT'!AB16</f>
        <v>0</v>
      </c>
      <c r="AB17" s="216">
        <f>'ADJ DETAIL INPUT'!AC16</f>
        <v>0</v>
      </c>
      <c r="AC17" s="216">
        <f>'ADJ DETAIL INPUT'!AD16</f>
        <v>-5413</v>
      </c>
      <c r="AD17" s="216">
        <f>'ADJ DETAIL INPUT'!AE16</f>
        <v>0</v>
      </c>
      <c r="AE17" s="216">
        <f>'ADJ DETAIL INPUT'!AF16</f>
        <v>0</v>
      </c>
      <c r="AF17" s="216">
        <f>'ADJ DETAIL INPUT'!AG16</f>
        <v>0</v>
      </c>
      <c r="AG17" s="216">
        <f>'ADJ DETAIL INPUT'!AH16</f>
        <v>0</v>
      </c>
      <c r="AH17" s="216">
        <f>'ADJ DETAIL INPUT'!AI16</f>
        <v>0</v>
      </c>
      <c r="AI17" s="216">
        <f>'ADJ DETAIL INPUT'!AL16</f>
        <v>0</v>
      </c>
      <c r="AJ17" s="216">
        <f>'ADJ DETAIL INPUT'!AM16</f>
        <v>0</v>
      </c>
      <c r="AK17" s="216">
        <f>'ADJ DETAIL INPUT'!AN16</f>
        <v>0</v>
      </c>
      <c r="AL17" s="216">
        <f>'ADJ DETAIL INPUT'!AO16</f>
        <v>0</v>
      </c>
      <c r="AM17" s="216">
        <f>'ADJ DETAIL INPUT'!AP16</f>
        <v>0</v>
      </c>
      <c r="AN17" s="216">
        <f>'ADJ DETAIL INPUT'!AQ16</f>
        <v>0</v>
      </c>
      <c r="AO17" s="216">
        <f>'ADJ DETAIL INPUT'!AR16</f>
        <v>0</v>
      </c>
      <c r="AP17" s="216">
        <f>'ADJ DETAIL INPUT'!AT16</f>
        <v>0</v>
      </c>
    </row>
    <row r="18" spans="1:42">
      <c r="A18" s="192">
        <v>4</v>
      </c>
      <c r="B18" s="168" t="s">
        <v>38</v>
      </c>
      <c r="C18" s="194"/>
      <c r="D18" s="194"/>
      <c r="E18" s="215">
        <f>SUM(E15:E17)</f>
        <v>261694</v>
      </c>
      <c r="F18" s="215">
        <f t="shared" ref="F18:AB18" si="0">SUM(F15:F17)</f>
        <v>0</v>
      </c>
      <c r="G18" s="215">
        <f t="shared" si="0"/>
        <v>0</v>
      </c>
      <c r="H18" s="215">
        <f t="shared" si="0"/>
        <v>0</v>
      </c>
      <c r="I18" s="215">
        <f t="shared" si="0"/>
        <v>-5626</v>
      </c>
      <c r="J18" s="215">
        <f t="shared" si="0"/>
        <v>0</v>
      </c>
      <c r="K18" s="215">
        <f t="shared" si="0"/>
        <v>0</v>
      </c>
      <c r="L18" s="215">
        <f t="shared" si="0"/>
        <v>0</v>
      </c>
      <c r="M18" s="215">
        <f t="shared" si="0"/>
        <v>0</v>
      </c>
      <c r="N18" s="215">
        <f t="shared" si="0"/>
        <v>0</v>
      </c>
      <c r="O18" s="215">
        <f t="shared" si="0"/>
        <v>0</v>
      </c>
      <c r="P18" s="215">
        <f t="shared" si="0"/>
        <v>0</v>
      </c>
      <c r="Q18" s="215">
        <f t="shared" si="0"/>
        <v>0</v>
      </c>
      <c r="R18" s="215">
        <f t="shared" si="0"/>
        <v>12984</v>
      </c>
      <c r="S18" s="215">
        <f t="shared" ref="S18" si="1">SUM(S15:S17)</f>
        <v>-102717</v>
      </c>
      <c r="T18" s="215">
        <f t="shared" si="0"/>
        <v>0</v>
      </c>
      <c r="U18" s="215">
        <f>SUM(U15:U17)</f>
        <v>0</v>
      </c>
      <c r="V18" s="215">
        <f t="shared" si="0"/>
        <v>0</v>
      </c>
      <c r="W18" s="215">
        <f t="shared" ref="W18" si="2">SUM(W15:W17)</f>
        <v>0</v>
      </c>
      <c r="X18" s="215">
        <f t="shared" si="0"/>
        <v>0</v>
      </c>
      <c r="Y18" s="215">
        <f t="shared" ref="Y18" si="3">SUM(Y15:Y17)</f>
        <v>0</v>
      </c>
      <c r="Z18" s="215">
        <f t="shared" si="0"/>
        <v>0</v>
      </c>
      <c r="AA18" s="215">
        <f>SUM(AA15:AA17)</f>
        <v>0</v>
      </c>
      <c r="AB18" s="215">
        <f t="shared" si="0"/>
        <v>0</v>
      </c>
      <c r="AC18" s="215">
        <f t="shared" ref="AC18:AP18" si="4">SUM(AC15:AC17)</f>
        <v>-77579</v>
      </c>
      <c r="AD18" s="215">
        <f>SUM(AD15:AD17)</f>
        <v>0</v>
      </c>
      <c r="AE18" s="215">
        <f t="shared" si="4"/>
        <v>0</v>
      </c>
      <c r="AF18" s="215">
        <f t="shared" si="4"/>
        <v>0</v>
      </c>
      <c r="AG18" s="215">
        <f t="shared" si="4"/>
        <v>0</v>
      </c>
      <c r="AH18" s="215">
        <f t="shared" si="4"/>
        <v>0</v>
      </c>
      <c r="AI18" s="215">
        <f t="shared" ref="AI18" si="5">SUM(AI15:AI17)</f>
        <v>0</v>
      </c>
      <c r="AJ18" s="215">
        <f t="shared" si="4"/>
        <v>0</v>
      </c>
      <c r="AK18" s="215">
        <f t="shared" si="4"/>
        <v>0</v>
      </c>
      <c r="AL18" s="215">
        <f t="shared" si="4"/>
        <v>0</v>
      </c>
      <c r="AM18" s="215">
        <f t="shared" ref="AM18" si="6">SUM(AM15:AM17)</f>
        <v>0</v>
      </c>
      <c r="AN18" s="215">
        <f t="shared" si="4"/>
        <v>0</v>
      </c>
      <c r="AO18" s="215">
        <f t="shared" ref="AO18" si="7">SUM(AO15:AO17)</f>
        <v>0</v>
      </c>
      <c r="AP18" s="215">
        <f t="shared" si="4"/>
        <v>0</v>
      </c>
    </row>
    <row r="19" spans="1:42">
      <c r="C19" s="194"/>
      <c r="D19" s="19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row>
    <row r="20" spans="1:42">
      <c r="B20" s="168" t="s">
        <v>39</v>
      </c>
      <c r="C20" s="194"/>
      <c r="D20" s="194"/>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row>
    <row r="21" spans="1:42">
      <c r="B21" s="194" t="s">
        <v>212</v>
      </c>
      <c r="D21" s="194"/>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row>
    <row r="22" spans="1:42">
      <c r="A22" s="192">
        <v>5</v>
      </c>
      <c r="C22" s="194" t="s">
        <v>40</v>
      </c>
      <c r="D22" s="194"/>
      <c r="E22" s="215">
        <f>'ADJ DETAIL INPUT'!E21</f>
        <v>164944</v>
      </c>
      <c r="F22" s="215">
        <f>'ADJ DETAIL INPUT'!F21</f>
        <v>0</v>
      </c>
      <c r="G22" s="215">
        <f>'ADJ DETAIL INPUT'!G21</f>
        <v>0</v>
      </c>
      <c r="H22" s="215">
        <f>'ADJ DETAIL INPUT'!H21</f>
        <v>0</v>
      </c>
      <c r="I22" s="215">
        <f>'ADJ DETAIL INPUT'!I21</f>
        <v>0</v>
      </c>
      <c r="J22" s="215">
        <f>'ADJ DETAIL INPUT'!J21</f>
        <v>0</v>
      </c>
      <c r="K22" s="215">
        <f>'ADJ DETAIL INPUT'!K21</f>
        <v>0</v>
      </c>
      <c r="L22" s="215">
        <f>'ADJ DETAIL INPUT'!L21</f>
        <v>0</v>
      </c>
      <c r="M22" s="215">
        <f>'ADJ DETAIL INPUT'!M21</f>
        <v>0</v>
      </c>
      <c r="N22" s="215">
        <f>'ADJ DETAIL INPUT'!N21</f>
        <v>0</v>
      </c>
      <c r="O22" s="215">
        <f>'ADJ DETAIL INPUT'!O21</f>
        <v>0</v>
      </c>
      <c r="P22" s="215">
        <f>'ADJ DETAIL INPUT'!P21</f>
        <v>0</v>
      </c>
      <c r="Q22" s="215">
        <f>'ADJ DETAIL INPUT'!Q21</f>
        <v>0</v>
      </c>
      <c r="R22" s="215">
        <f>'ADJ DETAIL INPUT'!R21</f>
        <v>10600</v>
      </c>
      <c r="S22" s="215">
        <f>'ADJ DETAIL INPUT'!S21</f>
        <v>-88985</v>
      </c>
      <c r="T22" s="215">
        <f>'ADJ DETAIL INPUT'!T21</f>
        <v>0</v>
      </c>
      <c r="U22" s="215">
        <f>'ADJ DETAIL INPUT'!U21</f>
        <v>0</v>
      </c>
      <c r="V22" s="215">
        <f>'ADJ DETAIL INPUT'!V21</f>
        <v>0</v>
      </c>
      <c r="W22" s="215">
        <f>'ADJ DETAIL INPUT'!W21</f>
        <v>0</v>
      </c>
      <c r="X22" s="215">
        <f>'ADJ DETAIL INPUT'!Y21</f>
        <v>0</v>
      </c>
      <c r="Y22" s="215">
        <f>'ADJ DETAIL INPUT'!Z21</f>
        <v>0</v>
      </c>
      <c r="Z22" s="215">
        <f>'ADJ DETAIL INPUT'!AA21</f>
        <v>0</v>
      </c>
      <c r="AA22" s="215">
        <f>'ADJ DETAIL INPUT'!AB21</f>
        <v>0</v>
      </c>
      <c r="AB22" s="215">
        <f>'ADJ DETAIL INPUT'!AC21</f>
        <v>0</v>
      </c>
      <c r="AC22" s="215">
        <f>'ADJ DETAIL INPUT'!AD21</f>
        <v>-86559</v>
      </c>
      <c r="AD22" s="215">
        <f>'ADJ DETAIL INPUT'!AE21</f>
        <v>0</v>
      </c>
      <c r="AE22" s="215">
        <f>'ADJ DETAIL INPUT'!AF21</f>
        <v>0</v>
      </c>
      <c r="AF22" s="215">
        <f>'ADJ DETAIL INPUT'!AG21</f>
        <v>0</v>
      </c>
      <c r="AG22" s="215">
        <f>'ADJ DETAIL INPUT'!AH21</f>
        <v>0</v>
      </c>
      <c r="AH22" s="215">
        <f>'ADJ DETAIL INPUT'!AI21</f>
        <v>0</v>
      </c>
      <c r="AI22" s="215">
        <f>'ADJ DETAIL INPUT'!AL21</f>
        <v>0</v>
      </c>
      <c r="AJ22" s="215">
        <f>'ADJ DETAIL INPUT'!AM21</f>
        <v>0</v>
      </c>
      <c r="AK22" s="215">
        <f>'ADJ DETAIL INPUT'!AN21</f>
        <v>0</v>
      </c>
      <c r="AL22" s="215">
        <f>'ADJ DETAIL INPUT'!AO21</f>
        <v>0</v>
      </c>
      <c r="AM22" s="215">
        <f>'ADJ DETAIL INPUT'!AP21</f>
        <v>0</v>
      </c>
      <c r="AN22" s="215">
        <f>'ADJ DETAIL INPUT'!AQ21</f>
        <v>0</v>
      </c>
      <c r="AO22" s="215">
        <f>'ADJ DETAIL INPUT'!AR21</f>
        <v>0</v>
      </c>
      <c r="AP22" s="215">
        <f>'ADJ DETAIL INPUT'!AT21</f>
        <v>0</v>
      </c>
    </row>
    <row r="23" spans="1:42">
      <c r="A23" s="192">
        <v>6</v>
      </c>
      <c r="C23" s="194" t="s">
        <v>41</v>
      </c>
      <c r="D23" s="194"/>
      <c r="E23" s="215">
        <f>'ADJ DETAIL INPUT'!E22</f>
        <v>810</v>
      </c>
      <c r="F23" s="215">
        <f>'ADJ DETAIL INPUT'!F22</f>
        <v>0</v>
      </c>
      <c r="G23" s="215">
        <f>'ADJ DETAIL INPUT'!G22</f>
        <v>0</v>
      </c>
      <c r="H23" s="215">
        <f>'ADJ DETAIL INPUT'!H22</f>
        <v>0</v>
      </c>
      <c r="I23" s="215">
        <f>'ADJ DETAIL INPUT'!I22</f>
        <v>0</v>
      </c>
      <c r="J23" s="215">
        <f>'ADJ DETAIL INPUT'!J22</f>
        <v>0</v>
      </c>
      <c r="K23" s="215">
        <f>'ADJ DETAIL INPUT'!K22</f>
        <v>0</v>
      </c>
      <c r="L23" s="215">
        <f>'ADJ DETAIL INPUT'!L22</f>
        <v>0</v>
      </c>
      <c r="M23" s="215">
        <f>'ADJ DETAIL INPUT'!M22</f>
        <v>0</v>
      </c>
      <c r="N23" s="215">
        <f>'ADJ DETAIL INPUT'!N22</f>
        <v>0</v>
      </c>
      <c r="O23" s="215">
        <f>'ADJ DETAIL INPUT'!O22</f>
        <v>0</v>
      </c>
      <c r="P23" s="215">
        <f>'ADJ DETAIL INPUT'!P22</f>
        <v>0</v>
      </c>
      <c r="Q23" s="215">
        <f>'ADJ DETAIL INPUT'!Q22</f>
        <v>0</v>
      </c>
      <c r="R23" s="215">
        <f>'ADJ DETAIL INPUT'!R22</f>
        <v>9</v>
      </c>
      <c r="S23" s="215">
        <f>'ADJ DETAIL INPUT'!S22</f>
        <v>0</v>
      </c>
      <c r="T23" s="215">
        <f>'ADJ DETAIL INPUT'!T22</f>
        <v>0</v>
      </c>
      <c r="U23" s="215">
        <f>'ADJ DETAIL INPUT'!U22</f>
        <v>0</v>
      </c>
      <c r="V23" s="215">
        <f>'ADJ DETAIL INPUT'!V22</f>
        <v>4</v>
      </c>
      <c r="W23" s="215">
        <f>'ADJ DETAIL INPUT'!W22</f>
        <v>0</v>
      </c>
      <c r="X23" s="215">
        <f>'ADJ DETAIL INPUT'!Y22</f>
        <v>21</v>
      </c>
      <c r="Y23" s="215">
        <f>'ADJ DETAIL INPUT'!Z22</f>
        <v>-25</v>
      </c>
      <c r="Z23" s="215">
        <f>'ADJ DETAIL INPUT'!AA22</f>
        <v>13</v>
      </c>
      <c r="AA23" s="215">
        <f>'ADJ DETAIL INPUT'!AB22</f>
        <v>0</v>
      </c>
      <c r="AB23" s="215">
        <f>'ADJ DETAIL INPUT'!AC22</f>
        <v>0</v>
      </c>
      <c r="AC23" s="215">
        <f>'ADJ DETAIL INPUT'!AD22</f>
        <v>0</v>
      </c>
      <c r="AD23" s="215">
        <f>'ADJ DETAIL INPUT'!AE22</f>
        <v>0</v>
      </c>
      <c r="AE23" s="215">
        <f>'ADJ DETAIL INPUT'!AF22</f>
        <v>0</v>
      </c>
      <c r="AF23" s="215">
        <f>'ADJ DETAIL INPUT'!AG22</f>
        <v>0</v>
      </c>
      <c r="AG23" s="215">
        <f>'ADJ DETAIL INPUT'!AH22</f>
        <v>0</v>
      </c>
      <c r="AH23" s="215">
        <f>'ADJ DETAIL INPUT'!AI22</f>
        <v>0</v>
      </c>
      <c r="AI23" s="215">
        <f>'ADJ DETAIL INPUT'!AL22</f>
        <v>0</v>
      </c>
      <c r="AJ23" s="215">
        <f>'ADJ DETAIL INPUT'!AM22</f>
        <v>0</v>
      </c>
      <c r="AK23" s="215">
        <f>'ADJ DETAIL INPUT'!AN22</f>
        <v>0</v>
      </c>
      <c r="AL23" s="215">
        <f>'ADJ DETAIL INPUT'!AO22</f>
        <v>0</v>
      </c>
      <c r="AM23" s="215">
        <f>'ADJ DETAIL INPUT'!AP22</f>
        <v>0</v>
      </c>
      <c r="AN23" s="215">
        <f>'ADJ DETAIL INPUT'!AQ22</f>
        <v>0</v>
      </c>
      <c r="AO23" s="215">
        <f>'ADJ DETAIL INPUT'!AR22</f>
        <v>0</v>
      </c>
      <c r="AP23" s="215">
        <f>'ADJ DETAIL INPUT'!AT22</f>
        <v>0</v>
      </c>
    </row>
    <row r="24" spans="1:42">
      <c r="A24" s="192">
        <v>7</v>
      </c>
      <c r="C24" s="194" t="s">
        <v>42</v>
      </c>
      <c r="D24" s="194"/>
      <c r="E24" s="216">
        <f>'ADJ DETAIL INPUT'!E23</f>
        <v>8665</v>
      </c>
      <c r="F24" s="216">
        <f>'ADJ DETAIL INPUT'!F23</f>
        <v>0</v>
      </c>
      <c r="G24" s="216">
        <f>'ADJ DETAIL INPUT'!G23</f>
        <v>0</v>
      </c>
      <c r="H24" s="216">
        <f>'ADJ DETAIL INPUT'!H23</f>
        <v>0</v>
      </c>
      <c r="I24" s="216">
        <f>'ADJ DETAIL INPUT'!I23</f>
        <v>0</v>
      </c>
      <c r="J24" s="216">
        <f>'ADJ DETAIL INPUT'!J23</f>
        <v>0</v>
      </c>
      <c r="K24" s="216">
        <f>'ADJ DETAIL INPUT'!K23</f>
        <v>0</v>
      </c>
      <c r="L24" s="216">
        <f>'ADJ DETAIL INPUT'!L23</f>
        <v>0</v>
      </c>
      <c r="M24" s="216">
        <f>'ADJ DETAIL INPUT'!M23</f>
        <v>0</v>
      </c>
      <c r="N24" s="216">
        <f>'ADJ DETAIL INPUT'!N23</f>
        <v>0</v>
      </c>
      <c r="O24" s="216">
        <f>'ADJ DETAIL INPUT'!O23</f>
        <v>0</v>
      </c>
      <c r="P24" s="216">
        <f>'ADJ DETAIL INPUT'!P23</f>
        <v>0</v>
      </c>
      <c r="Q24" s="216">
        <f>'ADJ DETAIL INPUT'!Q23</f>
        <v>0</v>
      </c>
      <c r="R24" s="216">
        <f>'ADJ DETAIL INPUT'!R23</f>
        <v>0</v>
      </c>
      <c r="S24" s="216">
        <f>'ADJ DETAIL INPUT'!S23</f>
        <v>-8665</v>
      </c>
      <c r="T24" s="216">
        <f>'ADJ DETAIL INPUT'!T23</f>
        <v>0</v>
      </c>
      <c r="U24" s="216">
        <f>'ADJ DETAIL INPUT'!U23</f>
        <v>0</v>
      </c>
      <c r="V24" s="216">
        <f>'ADJ DETAIL INPUT'!V23</f>
        <v>0</v>
      </c>
      <c r="W24" s="216">
        <f>'ADJ DETAIL INPUT'!W23</f>
        <v>0</v>
      </c>
      <c r="X24" s="216">
        <f>'ADJ DETAIL INPUT'!Y23</f>
        <v>0</v>
      </c>
      <c r="Y24" s="216">
        <f>'ADJ DETAIL INPUT'!Z23</f>
        <v>0</v>
      </c>
      <c r="Z24" s="216">
        <f>'ADJ DETAIL INPUT'!AA23</f>
        <v>0</v>
      </c>
      <c r="AA24" s="216">
        <f>'ADJ DETAIL INPUT'!AB23</f>
        <v>0</v>
      </c>
      <c r="AB24" s="216">
        <f>'ADJ DETAIL INPUT'!AC23</f>
        <v>0</v>
      </c>
      <c r="AC24" s="216">
        <f>'ADJ DETAIL INPUT'!AD23</f>
        <v>0</v>
      </c>
      <c r="AD24" s="216">
        <f>'ADJ DETAIL INPUT'!AE23</f>
        <v>0</v>
      </c>
      <c r="AE24" s="216">
        <f>'ADJ DETAIL INPUT'!AF23</f>
        <v>0</v>
      </c>
      <c r="AF24" s="216">
        <f>'ADJ DETAIL INPUT'!AG23</f>
        <v>0</v>
      </c>
      <c r="AG24" s="216">
        <f>'ADJ DETAIL INPUT'!AH23</f>
        <v>0</v>
      </c>
      <c r="AH24" s="216">
        <f>'ADJ DETAIL INPUT'!AI23</f>
        <v>0</v>
      </c>
      <c r="AI24" s="216">
        <f>'ADJ DETAIL INPUT'!AL23</f>
        <v>0</v>
      </c>
      <c r="AJ24" s="216">
        <f>'ADJ DETAIL INPUT'!AM23</f>
        <v>0</v>
      </c>
      <c r="AK24" s="216">
        <f>'ADJ DETAIL INPUT'!AN23</f>
        <v>0</v>
      </c>
      <c r="AL24" s="216">
        <f>'ADJ DETAIL INPUT'!AO23</f>
        <v>0</v>
      </c>
      <c r="AM24" s="216">
        <f>'ADJ DETAIL INPUT'!AP23</f>
        <v>0</v>
      </c>
      <c r="AN24" s="216">
        <f>'ADJ DETAIL INPUT'!AQ23</f>
        <v>0</v>
      </c>
      <c r="AO24" s="216">
        <f>'ADJ DETAIL INPUT'!AR23</f>
        <v>0</v>
      </c>
      <c r="AP24" s="216">
        <f>'ADJ DETAIL INPUT'!AT23</f>
        <v>0</v>
      </c>
    </row>
    <row r="25" spans="1:42">
      <c r="A25" s="192">
        <v>8</v>
      </c>
      <c r="B25" s="194" t="s">
        <v>43</v>
      </c>
      <c r="C25" s="194"/>
      <c r="E25" s="217">
        <f>SUM(E22:E24)</f>
        <v>174419</v>
      </c>
      <c r="F25" s="217">
        <f t="shared" ref="F25:AB25" si="8">SUM(F22:F24)</f>
        <v>0</v>
      </c>
      <c r="G25" s="217">
        <f t="shared" si="8"/>
        <v>0</v>
      </c>
      <c r="H25" s="217">
        <f t="shared" si="8"/>
        <v>0</v>
      </c>
      <c r="I25" s="217">
        <f t="shared" si="8"/>
        <v>0</v>
      </c>
      <c r="J25" s="217">
        <f t="shared" si="8"/>
        <v>0</v>
      </c>
      <c r="K25" s="217">
        <f t="shared" si="8"/>
        <v>0</v>
      </c>
      <c r="L25" s="217">
        <f t="shared" si="8"/>
        <v>0</v>
      </c>
      <c r="M25" s="217">
        <f t="shared" si="8"/>
        <v>0</v>
      </c>
      <c r="N25" s="217">
        <f t="shared" si="8"/>
        <v>0</v>
      </c>
      <c r="O25" s="217">
        <f t="shared" si="8"/>
        <v>0</v>
      </c>
      <c r="P25" s="217">
        <f t="shared" si="8"/>
        <v>0</v>
      </c>
      <c r="Q25" s="217">
        <f t="shared" si="8"/>
        <v>0</v>
      </c>
      <c r="R25" s="217">
        <f t="shared" si="8"/>
        <v>10609</v>
      </c>
      <c r="S25" s="217">
        <f t="shared" ref="S25" si="9">SUM(S22:S24)</f>
        <v>-97650</v>
      </c>
      <c r="T25" s="217">
        <f t="shared" si="8"/>
        <v>0</v>
      </c>
      <c r="U25" s="217">
        <f>SUM(U22:U24)</f>
        <v>0</v>
      </c>
      <c r="V25" s="217">
        <f t="shared" si="8"/>
        <v>4</v>
      </c>
      <c r="W25" s="217">
        <f t="shared" ref="W25" si="10">SUM(W22:W24)</f>
        <v>0</v>
      </c>
      <c r="X25" s="217">
        <f t="shared" si="8"/>
        <v>21</v>
      </c>
      <c r="Y25" s="217">
        <f t="shared" ref="Y25" si="11">SUM(Y22:Y24)</f>
        <v>-25</v>
      </c>
      <c r="Z25" s="217">
        <f t="shared" si="8"/>
        <v>13</v>
      </c>
      <c r="AA25" s="217">
        <f>SUM(AA22:AA24)</f>
        <v>0</v>
      </c>
      <c r="AB25" s="217">
        <f t="shared" si="8"/>
        <v>0</v>
      </c>
      <c r="AC25" s="217">
        <f t="shared" ref="AC25:AP25" si="12">SUM(AC22:AC24)</f>
        <v>-86559</v>
      </c>
      <c r="AD25" s="217">
        <f>SUM(AD22:AD24)</f>
        <v>0</v>
      </c>
      <c r="AE25" s="217">
        <f t="shared" si="12"/>
        <v>0</v>
      </c>
      <c r="AF25" s="217">
        <f t="shared" si="12"/>
        <v>0</v>
      </c>
      <c r="AG25" s="217">
        <f t="shared" si="12"/>
        <v>0</v>
      </c>
      <c r="AH25" s="217">
        <f t="shared" si="12"/>
        <v>0</v>
      </c>
      <c r="AI25" s="217">
        <f t="shared" ref="AI25" si="13">SUM(AI22:AI24)</f>
        <v>0</v>
      </c>
      <c r="AJ25" s="217">
        <f t="shared" si="12"/>
        <v>0</v>
      </c>
      <c r="AK25" s="217">
        <f t="shared" si="12"/>
        <v>0</v>
      </c>
      <c r="AL25" s="217">
        <f t="shared" si="12"/>
        <v>0</v>
      </c>
      <c r="AM25" s="217">
        <f t="shared" ref="AM25" si="14">SUM(AM22:AM24)</f>
        <v>0</v>
      </c>
      <c r="AN25" s="217">
        <f t="shared" si="12"/>
        <v>0</v>
      </c>
      <c r="AO25" s="217">
        <f t="shared" ref="AO25" si="15">SUM(AO22:AO24)</f>
        <v>0</v>
      </c>
      <c r="AP25" s="217">
        <f t="shared" si="12"/>
        <v>0</v>
      </c>
    </row>
    <row r="26" spans="1:42">
      <c r="B26" s="194"/>
      <c r="C26" s="194"/>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row>
    <row r="27" spans="1:42">
      <c r="B27" s="194" t="s">
        <v>44</v>
      </c>
      <c r="D27" s="194"/>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row>
    <row r="28" spans="1:42">
      <c r="A28" s="192">
        <v>9</v>
      </c>
      <c r="C28" s="194" t="s">
        <v>45</v>
      </c>
      <c r="D28" s="194"/>
      <c r="E28" s="215">
        <f>'ADJ DETAIL INPUT'!E27</f>
        <v>833</v>
      </c>
      <c r="F28" s="215">
        <f>'ADJ DETAIL INPUT'!F27</f>
        <v>0</v>
      </c>
      <c r="G28" s="215">
        <f>'ADJ DETAIL INPUT'!G27</f>
        <v>0</v>
      </c>
      <c r="H28" s="215">
        <f>'ADJ DETAIL INPUT'!H27</f>
        <v>0</v>
      </c>
      <c r="I28" s="215">
        <f>'ADJ DETAIL INPUT'!I27</f>
        <v>0</v>
      </c>
      <c r="J28" s="215">
        <f>'ADJ DETAIL INPUT'!J27</f>
        <v>0</v>
      </c>
      <c r="K28" s="215">
        <f>'ADJ DETAIL INPUT'!K27</f>
        <v>0</v>
      </c>
      <c r="L28" s="215">
        <f>'ADJ DETAIL INPUT'!L27</f>
        <v>0</v>
      </c>
      <c r="M28" s="215">
        <f>'ADJ DETAIL INPUT'!M27</f>
        <v>0</v>
      </c>
      <c r="N28" s="215">
        <f>'ADJ DETAIL INPUT'!N27</f>
        <v>0</v>
      </c>
      <c r="O28" s="215">
        <f>'ADJ DETAIL INPUT'!O27</f>
        <v>0</v>
      </c>
      <c r="P28" s="215">
        <f>'ADJ DETAIL INPUT'!P27</f>
        <v>0</v>
      </c>
      <c r="Q28" s="215">
        <f>'ADJ DETAIL INPUT'!Q27</f>
        <v>0</v>
      </c>
      <c r="R28" s="215">
        <f>'ADJ DETAIL INPUT'!R27</f>
        <v>0</v>
      </c>
      <c r="S28" s="215">
        <f>'ADJ DETAIL INPUT'!S27</f>
        <v>0</v>
      </c>
      <c r="T28" s="215">
        <f>'ADJ DETAIL INPUT'!T27</f>
        <v>0</v>
      </c>
      <c r="U28" s="215">
        <f>'ADJ DETAIL INPUT'!U27</f>
        <v>0</v>
      </c>
      <c r="V28" s="215">
        <f>'ADJ DETAIL INPUT'!V27</f>
        <v>1</v>
      </c>
      <c r="W28" s="215">
        <f>'ADJ DETAIL INPUT'!W27</f>
        <v>0</v>
      </c>
      <c r="X28" s="215">
        <f>'ADJ DETAIL INPUT'!Y27</f>
        <v>0</v>
      </c>
      <c r="Y28" s="215">
        <f>'ADJ DETAIL INPUT'!Z27</f>
        <v>0</v>
      </c>
      <c r="Z28" s="215">
        <f>'ADJ DETAIL INPUT'!AA27</f>
        <v>0</v>
      </c>
      <c r="AA28" s="215">
        <f>'ADJ DETAIL INPUT'!AB27</f>
        <v>0</v>
      </c>
      <c r="AB28" s="215">
        <f>'ADJ DETAIL INPUT'!AC27</f>
        <v>0</v>
      </c>
      <c r="AC28" s="215">
        <f>'ADJ DETAIL INPUT'!AD27</f>
        <v>0</v>
      </c>
      <c r="AD28" s="215">
        <f>'ADJ DETAIL INPUT'!AE27</f>
        <v>0</v>
      </c>
      <c r="AE28" s="215">
        <f>'ADJ DETAIL INPUT'!AF27</f>
        <v>0</v>
      </c>
      <c r="AF28" s="215">
        <f>'ADJ DETAIL INPUT'!AG27</f>
        <v>0</v>
      </c>
      <c r="AG28" s="215">
        <f>'ADJ DETAIL INPUT'!AH27</f>
        <v>0</v>
      </c>
      <c r="AH28" s="215">
        <f>'ADJ DETAIL INPUT'!AI27</f>
        <v>0</v>
      </c>
      <c r="AI28" s="215">
        <f>'ADJ DETAIL INPUT'!AL27</f>
        <v>0</v>
      </c>
      <c r="AJ28" s="215">
        <f>'ADJ DETAIL INPUT'!AM27</f>
        <v>0</v>
      </c>
      <c r="AK28" s="215">
        <f>'ADJ DETAIL INPUT'!AN27</f>
        <v>0</v>
      </c>
      <c r="AL28" s="215">
        <f>'ADJ DETAIL INPUT'!AO27</f>
        <v>0</v>
      </c>
      <c r="AM28" s="215">
        <f>'ADJ DETAIL INPUT'!AP27</f>
        <v>0</v>
      </c>
      <c r="AN28" s="215">
        <f>'ADJ DETAIL INPUT'!AQ27</f>
        <v>0</v>
      </c>
      <c r="AO28" s="215">
        <f>'ADJ DETAIL INPUT'!AR27</f>
        <v>0</v>
      </c>
      <c r="AP28" s="215">
        <f>'ADJ DETAIL INPUT'!AT27</f>
        <v>0</v>
      </c>
    </row>
    <row r="29" spans="1:42">
      <c r="A29" s="192">
        <v>10</v>
      </c>
      <c r="C29" s="194" t="s">
        <v>208</v>
      </c>
      <c r="D29" s="194"/>
      <c r="E29" s="215">
        <f>'ADJ DETAIL INPUT'!E28</f>
        <v>429</v>
      </c>
      <c r="F29" s="215">
        <f>'ADJ DETAIL INPUT'!F28</f>
        <v>0</v>
      </c>
      <c r="G29" s="215">
        <f>'ADJ DETAIL INPUT'!G28</f>
        <v>0</v>
      </c>
      <c r="H29" s="215">
        <f>'ADJ DETAIL INPUT'!H28</f>
        <v>0</v>
      </c>
      <c r="I29" s="215">
        <f>'ADJ DETAIL INPUT'!I28</f>
        <v>0</v>
      </c>
      <c r="J29" s="215">
        <f>'ADJ DETAIL INPUT'!J28</f>
        <v>0</v>
      </c>
      <c r="K29" s="215">
        <f>'ADJ DETAIL INPUT'!K28</f>
        <v>0</v>
      </c>
      <c r="L29" s="215">
        <f>'ADJ DETAIL INPUT'!L28</f>
        <v>0</v>
      </c>
      <c r="M29" s="215">
        <f>'ADJ DETAIL INPUT'!M28</f>
        <v>0</v>
      </c>
      <c r="N29" s="215">
        <f>'ADJ DETAIL INPUT'!N28</f>
        <v>0</v>
      </c>
      <c r="O29" s="215">
        <f>'ADJ DETAIL INPUT'!O28</f>
        <v>0</v>
      </c>
      <c r="P29" s="215">
        <f>'ADJ DETAIL INPUT'!P28</f>
        <v>0</v>
      </c>
      <c r="Q29" s="215">
        <f>'ADJ DETAIL INPUT'!Q28</f>
        <v>0</v>
      </c>
      <c r="R29" s="215">
        <f>'ADJ DETAIL INPUT'!R28</f>
        <v>0</v>
      </c>
      <c r="S29" s="215">
        <f>'ADJ DETAIL INPUT'!S28</f>
        <v>0</v>
      </c>
      <c r="T29" s="215">
        <f>'ADJ DETAIL INPUT'!T28</f>
        <v>0</v>
      </c>
      <c r="U29" s="215">
        <f>'ADJ DETAIL INPUT'!U28</f>
        <v>0</v>
      </c>
      <c r="V29" s="215">
        <f>'ADJ DETAIL INPUT'!V28</f>
        <v>0</v>
      </c>
      <c r="W29" s="215">
        <f>'ADJ DETAIL INPUT'!W28</f>
        <v>0</v>
      </c>
      <c r="X29" s="215">
        <f>'ADJ DETAIL INPUT'!Y28</f>
        <v>0</v>
      </c>
      <c r="Y29" s="215">
        <f>'ADJ DETAIL INPUT'!Z28</f>
        <v>0</v>
      </c>
      <c r="Z29" s="215">
        <f>'ADJ DETAIL INPUT'!AA28</f>
        <v>0</v>
      </c>
      <c r="AA29" s="215">
        <f>'ADJ DETAIL INPUT'!AB28</f>
        <v>0</v>
      </c>
      <c r="AB29" s="215">
        <f>'ADJ DETAIL INPUT'!AC28</f>
        <v>0</v>
      </c>
      <c r="AC29" s="215">
        <f>'ADJ DETAIL INPUT'!AD28</f>
        <v>0</v>
      </c>
      <c r="AD29" s="215">
        <f>'ADJ DETAIL INPUT'!AE28</f>
        <v>0</v>
      </c>
      <c r="AE29" s="215">
        <f>'ADJ DETAIL INPUT'!AF28</f>
        <v>0</v>
      </c>
      <c r="AF29" s="215">
        <f>'ADJ DETAIL INPUT'!AG28</f>
        <v>10</v>
      </c>
      <c r="AG29" s="215">
        <f>'ADJ DETAIL INPUT'!AH28</f>
        <v>0</v>
      </c>
      <c r="AH29" s="215">
        <f>'ADJ DETAIL INPUT'!AI28</f>
        <v>0</v>
      </c>
      <c r="AI29" s="215">
        <f>'ADJ DETAIL INPUT'!AL28</f>
        <v>0</v>
      </c>
      <c r="AJ29" s="215">
        <f>'ADJ DETAIL INPUT'!AM28</f>
        <v>0</v>
      </c>
      <c r="AK29" s="215">
        <f>'ADJ DETAIL INPUT'!AN28</f>
        <v>0</v>
      </c>
      <c r="AL29" s="215">
        <f>'ADJ DETAIL INPUT'!AO28</f>
        <v>0</v>
      </c>
      <c r="AM29" s="215">
        <f>'ADJ DETAIL INPUT'!AP28</f>
        <v>0</v>
      </c>
      <c r="AN29" s="215">
        <f>'ADJ DETAIL INPUT'!AQ28</f>
        <v>0</v>
      </c>
      <c r="AO29" s="215">
        <f>'ADJ DETAIL INPUT'!AR28</f>
        <v>0</v>
      </c>
      <c r="AP29" s="215">
        <f>'ADJ DETAIL INPUT'!AT28</f>
        <v>0</v>
      </c>
    </row>
    <row r="30" spans="1:42">
      <c r="A30" s="192">
        <v>11</v>
      </c>
      <c r="C30" s="194" t="s">
        <v>22</v>
      </c>
      <c r="D30" s="194"/>
      <c r="E30" s="216">
        <f>'ADJ DETAIL INPUT'!E29</f>
        <v>292</v>
      </c>
      <c r="F30" s="216">
        <f>'ADJ DETAIL INPUT'!F29</f>
        <v>0</v>
      </c>
      <c r="G30" s="216">
        <f>'ADJ DETAIL INPUT'!G29</f>
        <v>0</v>
      </c>
      <c r="H30" s="216">
        <f>'ADJ DETAIL INPUT'!H29</f>
        <v>0</v>
      </c>
      <c r="I30" s="216">
        <f>'ADJ DETAIL INPUT'!I29</f>
        <v>0</v>
      </c>
      <c r="J30" s="216">
        <f>'ADJ DETAIL INPUT'!J29</f>
        <v>-26</v>
      </c>
      <c r="K30" s="216">
        <f>'ADJ DETAIL INPUT'!K29</f>
        <v>0</v>
      </c>
      <c r="L30" s="216">
        <f>'ADJ DETAIL INPUT'!L29</f>
        <v>0</v>
      </c>
      <c r="M30" s="216">
        <f>'ADJ DETAIL INPUT'!M29</f>
        <v>0</v>
      </c>
      <c r="N30" s="216">
        <f>'ADJ DETAIL INPUT'!N29</f>
        <v>0</v>
      </c>
      <c r="O30" s="216">
        <f>'ADJ DETAIL INPUT'!O29</f>
        <v>0</v>
      </c>
      <c r="P30" s="216">
        <f>'ADJ DETAIL INPUT'!P29</f>
        <v>0</v>
      </c>
      <c r="Q30" s="216">
        <f>'ADJ DETAIL INPUT'!Q29</f>
        <v>0</v>
      </c>
      <c r="R30" s="216">
        <f>'ADJ DETAIL INPUT'!R29</f>
        <v>0</v>
      </c>
      <c r="S30" s="216">
        <f>'ADJ DETAIL INPUT'!S29</f>
        <v>0</v>
      </c>
      <c r="T30" s="216">
        <f>'ADJ DETAIL INPUT'!T29</f>
        <v>0</v>
      </c>
      <c r="U30" s="216">
        <f>'ADJ DETAIL INPUT'!U29</f>
        <v>0</v>
      </c>
      <c r="V30" s="216">
        <f>'ADJ DETAIL INPUT'!V29</f>
        <v>0</v>
      </c>
      <c r="W30" s="216">
        <f>'ADJ DETAIL INPUT'!W29</f>
        <v>0</v>
      </c>
      <c r="X30" s="216">
        <f>'ADJ DETAIL INPUT'!Y29</f>
        <v>0</v>
      </c>
      <c r="Y30" s="216">
        <f>'ADJ DETAIL INPUT'!Z29</f>
        <v>0</v>
      </c>
      <c r="Z30" s="216">
        <f>'ADJ DETAIL INPUT'!AA29</f>
        <v>0</v>
      </c>
      <c r="AA30" s="216">
        <f>'ADJ DETAIL INPUT'!AB29</f>
        <v>0</v>
      </c>
      <c r="AB30" s="216">
        <f>'ADJ DETAIL INPUT'!AC29</f>
        <v>17</v>
      </c>
      <c r="AC30" s="216">
        <f>'ADJ DETAIL INPUT'!AD29</f>
        <v>0</v>
      </c>
      <c r="AD30" s="216">
        <f>'ADJ DETAIL INPUT'!AE29</f>
        <v>0</v>
      </c>
      <c r="AE30" s="216">
        <f>'ADJ DETAIL INPUT'!AF29</f>
        <v>0</v>
      </c>
      <c r="AF30" s="216">
        <f>'ADJ DETAIL INPUT'!AG29</f>
        <v>0</v>
      </c>
      <c r="AG30" s="216">
        <f>'ADJ DETAIL INPUT'!AH29</f>
        <v>0</v>
      </c>
      <c r="AH30" s="216">
        <f>'ADJ DETAIL INPUT'!AI29</f>
        <v>0</v>
      </c>
      <c r="AI30" s="216">
        <f>'ADJ DETAIL INPUT'!AL29</f>
        <v>0</v>
      </c>
      <c r="AJ30" s="216">
        <f>'ADJ DETAIL INPUT'!AM29</f>
        <v>0</v>
      </c>
      <c r="AK30" s="216">
        <f>'ADJ DETAIL INPUT'!AN29</f>
        <v>0</v>
      </c>
      <c r="AL30" s="216">
        <f>'ADJ DETAIL INPUT'!AO29</f>
        <v>0</v>
      </c>
      <c r="AM30" s="216">
        <f>'ADJ DETAIL INPUT'!AP29</f>
        <v>0</v>
      </c>
      <c r="AN30" s="216">
        <f>'ADJ DETAIL INPUT'!AQ29</f>
        <v>0</v>
      </c>
      <c r="AO30" s="216">
        <f>'ADJ DETAIL INPUT'!AR29</f>
        <v>0</v>
      </c>
      <c r="AP30" s="216">
        <f>'ADJ DETAIL INPUT'!AT29</f>
        <v>0</v>
      </c>
    </row>
    <row r="31" spans="1:42">
      <c r="A31" s="192">
        <v>12</v>
      </c>
      <c r="B31" s="194" t="s">
        <v>47</v>
      </c>
      <c r="C31" s="194"/>
      <c r="E31" s="215">
        <f t="shared" ref="E31" si="16">SUM(E28:E30)</f>
        <v>1554</v>
      </c>
      <c r="F31" s="215">
        <f t="shared" ref="F31:AB31" si="17">SUM(F28:F30)</f>
        <v>0</v>
      </c>
      <c r="G31" s="215">
        <f t="shared" si="17"/>
        <v>0</v>
      </c>
      <c r="H31" s="215">
        <f t="shared" si="17"/>
        <v>0</v>
      </c>
      <c r="I31" s="215">
        <f t="shared" si="17"/>
        <v>0</v>
      </c>
      <c r="J31" s="215">
        <f t="shared" si="17"/>
        <v>-26</v>
      </c>
      <c r="K31" s="215">
        <f t="shared" si="17"/>
        <v>0</v>
      </c>
      <c r="L31" s="215">
        <f t="shared" si="17"/>
        <v>0</v>
      </c>
      <c r="M31" s="215">
        <f t="shared" si="17"/>
        <v>0</v>
      </c>
      <c r="N31" s="215">
        <f t="shared" si="17"/>
        <v>0</v>
      </c>
      <c r="O31" s="215">
        <f t="shared" si="17"/>
        <v>0</v>
      </c>
      <c r="P31" s="215">
        <f t="shared" si="17"/>
        <v>0</v>
      </c>
      <c r="Q31" s="215">
        <f t="shared" si="17"/>
        <v>0</v>
      </c>
      <c r="R31" s="215">
        <f t="shared" si="17"/>
        <v>0</v>
      </c>
      <c r="S31" s="215">
        <f t="shared" ref="S31" si="18">SUM(S28:S30)</f>
        <v>0</v>
      </c>
      <c r="T31" s="215">
        <f t="shared" si="17"/>
        <v>0</v>
      </c>
      <c r="U31" s="215">
        <f>SUM(U28:U30)</f>
        <v>0</v>
      </c>
      <c r="V31" s="215">
        <f t="shared" si="17"/>
        <v>1</v>
      </c>
      <c r="W31" s="215">
        <f t="shared" ref="W31" si="19">SUM(W28:W30)</f>
        <v>0</v>
      </c>
      <c r="X31" s="215">
        <f t="shared" si="17"/>
        <v>0</v>
      </c>
      <c r="Y31" s="215">
        <f t="shared" ref="Y31" si="20">SUM(Y28:Y30)</f>
        <v>0</v>
      </c>
      <c r="Z31" s="215">
        <f t="shared" si="17"/>
        <v>0</v>
      </c>
      <c r="AA31" s="215">
        <f>SUM(AA28:AA30)</f>
        <v>0</v>
      </c>
      <c r="AB31" s="215">
        <f t="shared" si="17"/>
        <v>17</v>
      </c>
      <c r="AC31" s="215">
        <f t="shared" ref="AC31:AP31" si="21">SUM(AC28:AC30)</f>
        <v>0</v>
      </c>
      <c r="AD31" s="215">
        <f>SUM(AD28:AD30)</f>
        <v>0</v>
      </c>
      <c r="AE31" s="215">
        <f t="shared" si="21"/>
        <v>0</v>
      </c>
      <c r="AF31" s="215">
        <f t="shared" si="21"/>
        <v>10</v>
      </c>
      <c r="AG31" s="215">
        <f t="shared" si="21"/>
        <v>0</v>
      </c>
      <c r="AH31" s="215">
        <f t="shared" si="21"/>
        <v>0</v>
      </c>
      <c r="AI31" s="215">
        <f t="shared" ref="AI31" si="22">SUM(AI28:AI30)</f>
        <v>0</v>
      </c>
      <c r="AJ31" s="215">
        <f t="shared" si="21"/>
        <v>0</v>
      </c>
      <c r="AK31" s="215">
        <f t="shared" si="21"/>
        <v>0</v>
      </c>
      <c r="AL31" s="215">
        <f t="shared" si="21"/>
        <v>0</v>
      </c>
      <c r="AM31" s="215">
        <f t="shared" ref="AM31" si="23">SUM(AM28:AM30)</f>
        <v>0</v>
      </c>
      <c r="AN31" s="215">
        <f t="shared" si="21"/>
        <v>0</v>
      </c>
      <c r="AO31" s="215">
        <f t="shared" ref="AO31" si="24">SUM(AO28:AO30)</f>
        <v>0</v>
      </c>
      <c r="AP31" s="215">
        <f t="shared" si="21"/>
        <v>0</v>
      </c>
    </row>
    <row r="32" spans="1:42">
      <c r="B32" s="194"/>
      <c r="C32" s="194"/>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row>
    <row r="33" spans="1:42">
      <c r="B33" s="194" t="s">
        <v>48</v>
      </c>
      <c r="D33" s="194"/>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row>
    <row r="34" spans="1:42">
      <c r="A34" s="192">
        <v>13</v>
      </c>
      <c r="C34" s="194" t="s">
        <v>45</v>
      </c>
      <c r="D34" s="194"/>
      <c r="E34" s="215">
        <f>'ADJ DETAIL INPUT'!E33</f>
        <v>11531</v>
      </c>
      <c r="F34" s="215">
        <f>'ADJ DETAIL INPUT'!F33</f>
        <v>0</v>
      </c>
      <c r="G34" s="215">
        <f>'ADJ DETAIL INPUT'!G33</f>
        <v>0</v>
      </c>
      <c r="H34" s="215">
        <f>'ADJ DETAIL INPUT'!H33</f>
        <v>0</v>
      </c>
      <c r="I34" s="215">
        <f>'ADJ DETAIL INPUT'!I33</f>
        <v>0</v>
      </c>
      <c r="J34" s="215">
        <f>'ADJ DETAIL INPUT'!J33</f>
        <v>0</v>
      </c>
      <c r="K34" s="215">
        <f>'ADJ DETAIL INPUT'!K33</f>
        <v>0</v>
      </c>
      <c r="L34" s="215">
        <f>'ADJ DETAIL INPUT'!L33</f>
        <v>0</v>
      </c>
      <c r="M34" s="215">
        <f>'ADJ DETAIL INPUT'!M33</f>
        <v>0</v>
      </c>
      <c r="N34" s="215">
        <f>'ADJ DETAIL INPUT'!N33</f>
        <v>0</v>
      </c>
      <c r="O34" s="215">
        <f>'ADJ DETAIL INPUT'!O33</f>
        <v>0</v>
      </c>
      <c r="P34" s="215">
        <f>'ADJ DETAIL INPUT'!P33</f>
        <v>0</v>
      </c>
      <c r="Q34" s="215">
        <f>'ADJ DETAIL INPUT'!Q33</f>
        <v>0</v>
      </c>
      <c r="R34" s="215">
        <f>'ADJ DETAIL INPUT'!R33</f>
        <v>0</v>
      </c>
      <c r="S34" s="215">
        <f>'ADJ DETAIL INPUT'!S33</f>
        <v>0</v>
      </c>
      <c r="T34" s="215">
        <f>'ADJ DETAIL INPUT'!T33</f>
        <v>0</v>
      </c>
      <c r="U34" s="215">
        <f>'ADJ DETAIL INPUT'!U33</f>
        <v>0</v>
      </c>
      <c r="V34" s="215">
        <f>'ADJ DETAIL INPUT'!V33</f>
        <v>60</v>
      </c>
      <c r="W34" s="215">
        <f>'ADJ DETAIL INPUT'!W33</f>
        <v>0</v>
      </c>
      <c r="X34" s="215">
        <f>'ADJ DETAIL INPUT'!Y33</f>
        <v>284</v>
      </c>
      <c r="Y34" s="215">
        <f>'ADJ DETAIL INPUT'!Z33</f>
        <v>0</v>
      </c>
      <c r="Z34" s="215">
        <f>'ADJ DETAIL INPUT'!AA33</f>
        <v>178</v>
      </c>
      <c r="AA34" s="215">
        <f>'ADJ DETAIL INPUT'!AB33</f>
        <v>0</v>
      </c>
      <c r="AB34" s="215">
        <f>'ADJ DETAIL INPUT'!AC33</f>
        <v>0</v>
      </c>
      <c r="AC34" s="215">
        <f>'ADJ DETAIL INPUT'!AD33</f>
        <v>0</v>
      </c>
      <c r="AD34" s="215">
        <f>'ADJ DETAIL INPUT'!AE33</f>
        <v>236</v>
      </c>
      <c r="AE34" s="215">
        <f>'ADJ DETAIL INPUT'!AF33</f>
        <v>0</v>
      </c>
      <c r="AF34" s="215">
        <f>'ADJ DETAIL INPUT'!AG33</f>
        <v>0</v>
      </c>
      <c r="AG34" s="215">
        <f>'ADJ DETAIL INPUT'!AH33</f>
        <v>0</v>
      </c>
      <c r="AH34" s="215">
        <f>'ADJ DETAIL INPUT'!AI33</f>
        <v>0</v>
      </c>
      <c r="AI34" s="215">
        <f>'ADJ DETAIL INPUT'!AL33</f>
        <v>0</v>
      </c>
      <c r="AJ34" s="215">
        <f>'ADJ DETAIL INPUT'!AM33</f>
        <v>0</v>
      </c>
      <c r="AK34" s="215">
        <f>'ADJ DETAIL INPUT'!AN33</f>
        <v>0</v>
      </c>
      <c r="AL34" s="215">
        <f>'ADJ DETAIL INPUT'!AO33</f>
        <v>0</v>
      </c>
      <c r="AM34" s="215">
        <f>'ADJ DETAIL INPUT'!AP33</f>
        <v>0</v>
      </c>
      <c r="AN34" s="215">
        <f>'ADJ DETAIL INPUT'!AQ33</f>
        <v>0</v>
      </c>
      <c r="AO34" s="215">
        <f>'ADJ DETAIL INPUT'!AR33</f>
        <v>0</v>
      </c>
      <c r="AP34" s="215">
        <f>'ADJ DETAIL INPUT'!AT33</f>
        <v>0</v>
      </c>
    </row>
    <row r="35" spans="1:42">
      <c r="A35" s="192">
        <v>14</v>
      </c>
      <c r="C35" s="194" t="s">
        <v>208</v>
      </c>
      <c r="D35" s="194"/>
      <c r="E35" s="217">
        <f>'ADJ DETAIL INPUT'!E34</f>
        <v>8931</v>
      </c>
      <c r="F35" s="217">
        <f>'ADJ DETAIL INPUT'!F34</f>
        <v>0</v>
      </c>
      <c r="G35" s="217">
        <f>'ADJ DETAIL INPUT'!G34</f>
        <v>0</v>
      </c>
      <c r="H35" s="217">
        <f>'ADJ DETAIL INPUT'!H34</f>
        <v>0</v>
      </c>
      <c r="I35" s="217">
        <f>'ADJ DETAIL INPUT'!I34</f>
        <v>0</v>
      </c>
      <c r="J35" s="217">
        <f>'ADJ DETAIL INPUT'!J34</f>
        <v>0</v>
      </c>
      <c r="K35" s="217">
        <f>'ADJ DETAIL INPUT'!K34</f>
        <v>0</v>
      </c>
      <c r="L35" s="217">
        <f>'ADJ DETAIL INPUT'!L34</f>
        <v>0</v>
      </c>
      <c r="M35" s="217">
        <f>'ADJ DETAIL INPUT'!M34</f>
        <v>0</v>
      </c>
      <c r="N35" s="217">
        <f>'ADJ DETAIL INPUT'!N34</f>
        <v>0</v>
      </c>
      <c r="O35" s="217">
        <f>'ADJ DETAIL INPUT'!O34</f>
        <v>0</v>
      </c>
      <c r="P35" s="217">
        <f>'ADJ DETAIL INPUT'!P34</f>
        <v>0</v>
      </c>
      <c r="Q35" s="217">
        <f>'ADJ DETAIL INPUT'!Q34</f>
        <v>-6</v>
      </c>
      <c r="R35" s="217">
        <f>'ADJ DETAIL INPUT'!R34</f>
        <v>0</v>
      </c>
      <c r="S35" s="217">
        <f>'ADJ DETAIL INPUT'!S34</f>
        <v>0</v>
      </c>
      <c r="T35" s="217">
        <f>'ADJ DETAIL INPUT'!T34</f>
        <v>0</v>
      </c>
      <c r="U35" s="217">
        <f>'ADJ DETAIL INPUT'!U34</f>
        <v>0</v>
      </c>
      <c r="V35" s="217">
        <f>'ADJ DETAIL INPUT'!V34</f>
        <v>0</v>
      </c>
      <c r="W35" s="217">
        <f>'ADJ DETAIL INPUT'!W34</f>
        <v>0</v>
      </c>
      <c r="X35" s="217">
        <f>'ADJ DETAIL INPUT'!Y34</f>
        <v>0</v>
      </c>
      <c r="Y35" s="217">
        <f>'ADJ DETAIL INPUT'!Z34</f>
        <v>0</v>
      </c>
      <c r="Z35" s="217">
        <f>'ADJ DETAIL INPUT'!AA34</f>
        <v>0</v>
      </c>
      <c r="AA35" s="217">
        <f>'ADJ DETAIL INPUT'!AB34</f>
        <v>0</v>
      </c>
      <c r="AB35" s="217">
        <f>'ADJ DETAIL INPUT'!AC34</f>
        <v>0</v>
      </c>
      <c r="AC35" s="217">
        <f>'ADJ DETAIL INPUT'!AD34</f>
        <v>0</v>
      </c>
      <c r="AD35" s="217">
        <f>'ADJ DETAIL INPUT'!AE34</f>
        <v>0</v>
      </c>
      <c r="AE35" s="217">
        <f>'ADJ DETAIL INPUT'!AF34</f>
        <v>0</v>
      </c>
      <c r="AF35" s="217">
        <f>'ADJ DETAIL INPUT'!AG34</f>
        <v>163</v>
      </c>
      <c r="AG35" s="217">
        <f>'ADJ DETAIL INPUT'!AH34</f>
        <v>33</v>
      </c>
      <c r="AH35" s="217">
        <f>'ADJ DETAIL INPUT'!AI34</f>
        <v>0</v>
      </c>
      <c r="AI35" s="217">
        <f>'ADJ DETAIL INPUT'!AL34</f>
        <v>0</v>
      </c>
      <c r="AJ35" s="217">
        <f>'ADJ DETAIL INPUT'!AM34</f>
        <v>0</v>
      </c>
      <c r="AK35" s="217">
        <f>'ADJ DETAIL INPUT'!AN34</f>
        <v>0</v>
      </c>
      <c r="AL35" s="217">
        <f>'ADJ DETAIL INPUT'!AO34</f>
        <v>0</v>
      </c>
      <c r="AM35" s="217">
        <f>'ADJ DETAIL INPUT'!AP34</f>
        <v>0</v>
      </c>
      <c r="AN35" s="217">
        <f>'ADJ DETAIL INPUT'!AQ34</f>
        <v>0</v>
      </c>
      <c r="AO35" s="217">
        <f>'ADJ DETAIL INPUT'!AR34</f>
        <v>0</v>
      </c>
      <c r="AP35" s="217">
        <f>'ADJ DETAIL INPUT'!AT34</f>
        <v>0</v>
      </c>
    </row>
    <row r="36" spans="1:42">
      <c r="A36" s="192">
        <v>15</v>
      </c>
      <c r="C36" s="194" t="s">
        <v>22</v>
      </c>
      <c r="D36" s="194"/>
      <c r="E36" s="216">
        <f>'ADJ DETAIL INPUT'!E35</f>
        <v>14014</v>
      </c>
      <c r="F36" s="216">
        <f>'ADJ DETAIL INPUT'!F35</f>
        <v>0</v>
      </c>
      <c r="G36" s="216">
        <f>'ADJ DETAIL INPUT'!G35</f>
        <v>0</v>
      </c>
      <c r="H36" s="216">
        <f>'ADJ DETAIL INPUT'!H35</f>
        <v>0</v>
      </c>
      <c r="I36" s="216">
        <f>'ADJ DETAIL INPUT'!I35</f>
        <v>-5612</v>
      </c>
      <c r="J36" s="216">
        <f>'ADJ DETAIL INPUT'!J35</f>
        <v>-325</v>
      </c>
      <c r="K36" s="216">
        <f>'ADJ DETAIL INPUT'!K35</f>
        <v>0</v>
      </c>
      <c r="L36" s="216">
        <f>'ADJ DETAIL INPUT'!L35</f>
        <v>0</v>
      </c>
      <c r="M36" s="216">
        <f>'ADJ DETAIL INPUT'!M35</f>
        <v>0</v>
      </c>
      <c r="N36" s="216">
        <f>'ADJ DETAIL INPUT'!N35</f>
        <v>0</v>
      </c>
      <c r="O36" s="216">
        <f>'ADJ DETAIL INPUT'!O35</f>
        <v>0</v>
      </c>
      <c r="P36" s="216">
        <f>'ADJ DETAIL INPUT'!P35</f>
        <v>-5</v>
      </c>
      <c r="Q36" s="216">
        <f>'ADJ DETAIL INPUT'!Q35</f>
        <v>0</v>
      </c>
      <c r="R36" s="216">
        <f>'ADJ DETAIL INPUT'!R35</f>
        <v>497</v>
      </c>
      <c r="S36" s="216">
        <f>'ADJ DETAIL INPUT'!S35</f>
        <v>-127</v>
      </c>
      <c r="T36" s="216">
        <f>'ADJ DETAIL INPUT'!T35</f>
        <v>0</v>
      </c>
      <c r="U36" s="216">
        <f>'ADJ DETAIL INPUT'!U35</f>
        <v>0</v>
      </c>
      <c r="V36" s="216">
        <f>'ADJ DETAIL INPUT'!V35</f>
        <v>0</v>
      </c>
      <c r="W36" s="216">
        <f>'ADJ DETAIL INPUT'!W35</f>
        <v>0</v>
      </c>
      <c r="X36" s="216">
        <f>'ADJ DETAIL INPUT'!Y35</f>
        <v>0</v>
      </c>
      <c r="Y36" s="216">
        <f>'ADJ DETAIL INPUT'!Z35</f>
        <v>0</v>
      </c>
      <c r="Z36" s="216">
        <f>'ADJ DETAIL INPUT'!AA35</f>
        <v>0</v>
      </c>
      <c r="AA36" s="216">
        <f>'ADJ DETAIL INPUT'!AB35</f>
        <v>0</v>
      </c>
      <c r="AB36" s="216">
        <f>'ADJ DETAIL INPUT'!AC35</f>
        <v>213</v>
      </c>
      <c r="AC36" s="216">
        <f>'ADJ DETAIL INPUT'!AD35</f>
        <v>-2764</v>
      </c>
      <c r="AD36" s="216">
        <f>'ADJ DETAIL INPUT'!AE35</f>
        <v>0</v>
      </c>
      <c r="AE36" s="216">
        <f>'ADJ DETAIL INPUT'!AF35</f>
        <v>0</v>
      </c>
      <c r="AF36" s="216">
        <f>'ADJ DETAIL INPUT'!AG35</f>
        <v>0</v>
      </c>
      <c r="AG36" s="216">
        <f>'ADJ DETAIL INPUT'!AH35</f>
        <v>0</v>
      </c>
      <c r="AH36" s="216">
        <f>'ADJ DETAIL INPUT'!AI35</f>
        <v>0</v>
      </c>
      <c r="AI36" s="216">
        <f>'ADJ DETAIL INPUT'!AL35</f>
        <v>0</v>
      </c>
      <c r="AJ36" s="216">
        <f>'ADJ DETAIL INPUT'!AM35</f>
        <v>0</v>
      </c>
      <c r="AK36" s="216">
        <f>'ADJ DETAIL INPUT'!AN35</f>
        <v>0</v>
      </c>
      <c r="AL36" s="216">
        <f>'ADJ DETAIL INPUT'!AO35</f>
        <v>0</v>
      </c>
      <c r="AM36" s="216">
        <f>'ADJ DETAIL INPUT'!AP35</f>
        <v>0</v>
      </c>
      <c r="AN36" s="216">
        <f>'ADJ DETAIL INPUT'!AQ35</f>
        <v>0</v>
      </c>
      <c r="AO36" s="216">
        <f>'ADJ DETAIL INPUT'!AR35</f>
        <v>0</v>
      </c>
      <c r="AP36" s="216">
        <f>'ADJ DETAIL INPUT'!AT35</f>
        <v>0</v>
      </c>
    </row>
    <row r="37" spans="1:42" ht="13" customHeight="1">
      <c r="A37" s="192">
        <v>16</v>
      </c>
      <c r="B37" s="194" t="s">
        <v>49</v>
      </c>
      <c r="C37" s="194"/>
      <c r="E37" s="215">
        <f t="shared" ref="E37" si="25">SUM(E34:E36)</f>
        <v>34476</v>
      </c>
      <c r="F37" s="215">
        <f t="shared" ref="F37:AB37" si="26">SUM(F34:F36)</f>
        <v>0</v>
      </c>
      <c r="G37" s="215">
        <f t="shared" si="26"/>
        <v>0</v>
      </c>
      <c r="H37" s="215">
        <f t="shared" si="26"/>
        <v>0</v>
      </c>
      <c r="I37" s="215">
        <f t="shared" si="26"/>
        <v>-5612</v>
      </c>
      <c r="J37" s="215">
        <f t="shared" si="26"/>
        <v>-325</v>
      </c>
      <c r="K37" s="215">
        <f t="shared" si="26"/>
        <v>0</v>
      </c>
      <c r="L37" s="215">
        <f t="shared" si="26"/>
        <v>0</v>
      </c>
      <c r="M37" s="215">
        <f t="shared" si="26"/>
        <v>0</v>
      </c>
      <c r="N37" s="215">
        <f t="shared" si="26"/>
        <v>0</v>
      </c>
      <c r="O37" s="215">
        <f t="shared" si="26"/>
        <v>0</v>
      </c>
      <c r="P37" s="215">
        <f t="shared" si="26"/>
        <v>-5</v>
      </c>
      <c r="Q37" s="215">
        <f t="shared" si="26"/>
        <v>-6</v>
      </c>
      <c r="R37" s="215">
        <f t="shared" si="26"/>
        <v>497</v>
      </c>
      <c r="S37" s="215">
        <f t="shared" ref="S37" si="27">SUM(S34:S36)</f>
        <v>-127</v>
      </c>
      <c r="T37" s="215">
        <f t="shared" si="26"/>
        <v>0</v>
      </c>
      <c r="U37" s="215">
        <f>SUM(U34:U36)</f>
        <v>0</v>
      </c>
      <c r="V37" s="215">
        <f t="shared" si="26"/>
        <v>60</v>
      </c>
      <c r="W37" s="215">
        <f t="shared" ref="W37" si="28">SUM(W34:W36)</f>
        <v>0</v>
      </c>
      <c r="X37" s="215">
        <f t="shared" si="26"/>
        <v>284</v>
      </c>
      <c r="Y37" s="215">
        <f t="shared" ref="Y37" si="29">SUM(Y34:Y36)</f>
        <v>0</v>
      </c>
      <c r="Z37" s="215">
        <f t="shared" si="26"/>
        <v>178</v>
      </c>
      <c r="AA37" s="215">
        <f>SUM(AA34:AA36)</f>
        <v>0</v>
      </c>
      <c r="AB37" s="215">
        <f t="shared" si="26"/>
        <v>213</v>
      </c>
      <c r="AC37" s="215">
        <f t="shared" ref="AC37:AP37" si="30">SUM(AC34:AC36)</f>
        <v>-2764</v>
      </c>
      <c r="AD37" s="215">
        <f>SUM(AD34:AD36)</f>
        <v>236</v>
      </c>
      <c r="AE37" s="215">
        <f t="shared" si="30"/>
        <v>0</v>
      </c>
      <c r="AF37" s="215">
        <f t="shared" si="30"/>
        <v>163</v>
      </c>
      <c r="AG37" s="215">
        <f t="shared" si="30"/>
        <v>33</v>
      </c>
      <c r="AH37" s="215">
        <f t="shared" si="30"/>
        <v>0</v>
      </c>
      <c r="AI37" s="215">
        <f t="shared" ref="AI37" si="31">SUM(AI34:AI36)</f>
        <v>0</v>
      </c>
      <c r="AJ37" s="215">
        <f t="shared" si="30"/>
        <v>0</v>
      </c>
      <c r="AK37" s="215">
        <f t="shared" si="30"/>
        <v>0</v>
      </c>
      <c r="AL37" s="215">
        <f t="shared" si="30"/>
        <v>0</v>
      </c>
      <c r="AM37" s="215">
        <f t="shared" ref="AM37" si="32">SUM(AM34:AM36)</f>
        <v>0</v>
      </c>
      <c r="AN37" s="215">
        <f t="shared" si="30"/>
        <v>0</v>
      </c>
      <c r="AO37" s="215">
        <f t="shared" ref="AO37" si="33">SUM(AO34:AO36)</f>
        <v>0</v>
      </c>
      <c r="AP37" s="215">
        <f t="shared" si="30"/>
        <v>0</v>
      </c>
    </row>
    <row r="38" spans="1:42" ht="13" customHeight="1">
      <c r="C38" s="194"/>
      <c r="D38" s="19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row>
    <row r="39" spans="1:42" ht="13" customHeight="1">
      <c r="A39" s="192">
        <v>17</v>
      </c>
      <c r="B39" s="168" t="s">
        <v>50</v>
      </c>
      <c r="C39" s="194"/>
      <c r="D39" s="194"/>
      <c r="E39" s="215">
        <f>'ADJ DETAIL INPUT'!E38</f>
        <v>6595</v>
      </c>
      <c r="F39" s="215">
        <f>'ADJ DETAIL INPUT'!F38</f>
        <v>0</v>
      </c>
      <c r="G39" s="215">
        <f>'ADJ DETAIL INPUT'!G38</f>
        <v>1</v>
      </c>
      <c r="H39" s="215">
        <f>'ADJ DETAIL INPUT'!H38</f>
        <v>0</v>
      </c>
      <c r="I39" s="215">
        <f>'ADJ DETAIL INPUT'!I38</f>
        <v>0</v>
      </c>
      <c r="J39" s="215">
        <f>'ADJ DETAIL INPUT'!J38</f>
        <v>0</v>
      </c>
      <c r="K39" s="215">
        <f>'ADJ DETAIL INPUT'!K38</f>
        <v>-313</v>
      </c>
      <c r="L39" s="215">
        <f>'ADJ DETAIL INPUT'!L38</f>
        <v>0</v>
      </c>
      <c r="M39" s="215">
        <f>'ADJ DETAIL INPUT'!M38</f>
        <v>0</v>
      </c>
      <c r="N39" s="215">
        <f>'ADJ DETAIL INPUT'!N38</f>
        <v>0</v>
      </c>
      <c r="O39" s="215">
        <f>'ADJ DETAIL INPUT'!O38</f>
        <v>0</v>
      </c>
      <c r="P39" s="215">
        <f>'ADJ DETAIL INPUT'!P38</f>
        <v>0</v>
      </c>
      <c r="Q39" s="215">
        <f>'ADJ DETAIL INPUT'!Q38</f>
        <v>0</v>
      </c>
      <c r="R39" s="215">
        <f>'ADJ DETAIL INPUT'!R38</f>
        <v>76</v>
      </c>
      <c r="S39" s="215">
        <f>'ADJ DETAIL INPUT'!S38</f>
        <v>-19</v>
      </c>
      <c r="T39" s="215">
        <f>'ADJ DETAIL INPUT'!T38</f>
        <v>0</v>
      </c>
      <c r="U39" s="215">
        <f>'ADJ DETAIL INPUT'!U38</f>
        <v>0</v>
      </c>
      <c r="V39" s="215">
        <f>'ADJ DETAIL INPUT'!V38</f>
        <v>31</v>
      </c>
      <c r="W39" s="215">
        <f>'ADJ DETAIL INPUT'!W38</f>
        <v>0</v>
      </c>
      <c r="X39" s="215">
        <f>'ADJ DETAIL INPUT'!Y38</f>
        <v>151</v>
      </c>
      <c r="Y39" s="215">
        <f>'ADJ DETAIL INPUT'!Z38</f>
        <v>0</v>
      </c>
      <c r="Z39" s="215">
        <f>'ADJ DETAIL INPUT'!AA38</f>
        <v>93</v>
      </c>
      <c r="AA39" s="215">
        <f>'ADJ DETAIL INPUT'!AB38</f>
        <v>0</v>
      </c>
      <c r="AB39" s="215">
        <f>'ADJ DETAIL INPUT'!AC38</f>
        <v>0</v>
      </c>
      <c r="AC39" s="215">
        <f>'ADJ DETAIL INPUT'!AD38</f>
        <v>-423</v>
      </c>
      <c r="AD39" s="215">
        <f>'ADJ DETAIL INPUT'!AE38</f>
        <v>0</v>
      </c>
      <c r="AE39" s="215">
        <f>'ADJ DETAIL INPUT'!AF38</f>
        <v>0</v>
      </c>
      <c r="AF39" s="215">
        <f>'ADJ DETAIL INPUT'!AG38</f>
        <v>0</v>
      </c>
      <c r="AG39" s="215">
        <f>'ADJ DETAIL INPUT'!AH38</f>
        <v>0</v>
      </c>
      <c r="AH39" s="215">
        <f>'ADJ DETAIL INPUT'!AI38</f>
        <v>0</v>
      </c>
      <c r="AI39" s="215">
        <f>'ADJ DETAIL INPUT'!AL38</f>
        <v>0</v>
      </c>
      <c r="AJ39" s="215">
        <f>'ADJ DETAIL INPUT'!AM38</f>
        <v>0</v>
      </c>
      <c r="AK39" s="215">
        <f>'ADJ DETAIL INPUT'!AN38</f>
        <v>0</v>
      </c>
      <c r="AL39" s="215">
        <f>'ADJ DETAIL INPUT'!AO38</f>
        <v>0</v>
      </c>
      <c r="AM39" s="215">
        <f>'ADJ DETAIL INPUT'!AP38</f>
        <v>0</v>
      </c>
      <c r="AN39" s="215">
        <f>'ADJ DETAIL INPUT'!AQ38</f>
        <v>0</v>
      </c>
      <c r="AO39" s="215">
        <f>'ADJ DETAIL INPUT'!AR38</f>
        <v>0</v>
      </c>
      <c r="AP39" s="215">
        <f>'ADJ DETAIL INPUT'!AT38</f>
        <v>0</v>
      </c>
    </row>
    <row r="40" spans="1:42">
      <c r="A40" s="192">
        <v>18</v>
      </c>
      <c r="B40" s="168" t="s">
        <v>51</v>
      </c>
      <c r="C40" s="194"/>
      <c r="D40" s="194"/>
      <c r="E40" s="215">
        <f>'ADJ DETAIL INPUT'!E39</f>
        <v>5790</v>
      </c>
      <c r="F40" s="215">
        <f>'ADJ DETAIL INPUT'!F39</f>
        <v>0</v>
      </c>
      <c r="G40" s="215">
        <f>'ADJ DETAIL INPUT'!G39</f>
        <v>0</v>
      </c>
      <c r="H40" s="215">
        <f>'ADJ DETAIL INPUT'!H39</f>
        <v>0</v>
      </c>
      <c r="I40" s="215">
        <f>'ADJ DETAIL INPUT'!I39</f>
        <v>0</v>
      </c>
      <c r="J40" s="215">
        <f>'ADJ DETAIL INPUT'!J39</f>
        <v>0</v>
      </c>
      <c r="K40" s="215">
        <f>'ADJ DETAIL INPUT'!K39</f>
        <v>0</v>
      </c>
      <c r="L40" s="215">
        <f>'ADJ DETAIL INPUT'!L39</f>
        <v>0</v>
      </c>
      <c r="M40" s="215">
        <f>'ADJ DETAIL INPUT'!M39</f>
        <v>0</v>
      </c>
      <c r="N40" s="215">
        <f>'ADJ DETAIL INPUT'!N39</f>
        <v>0</v>
      </c>
      <c r="O40" s="215">
        <f>'ADJ DETAIL INPUT'!O39</f>
        <v>0</v>
      </c>
      <c r="P40" s="215">
        <f>'ADJ DETAIL INPUT'!P39</f>
        <v>0</v>
      </c>
      <c r="Q40" s="215">
        <f>'ADJ DETAIL INPUT'!Q39</f>
        <v>0</v>
      </c>
      <c r="R40" s="215">
        <f>'ADJ DETAIL INPUT'!R39</f>
        <v>0</v>
      </c>
      <c r="S40" s="215">
        <f>'ADJ DETAIL INPUT'!S39</f>
        <v>-4914</v>
      </c>
      <c r="T40" s="215">
        <f>'ADJ DETAIL INPUT'!T39</f>
        <v>0</v>
      </c>
      <c r="U40" s="215">
        <f>'ADJ DETAIL INPUT'!U39</f>
        <v>0</v>
      </c>
      <c r="V40" s="215">
        <f>'ADJ DETAIL INPUT'!V39</f>
        <v>2</v>
      </c>
      <c r="W40" s="215">
        <f>'ADJ DETAIL INPUT'!W39</f>
        <v>0</v>
      </c>
      <c r="X40" s="215">
        <f>'ADJ DETAIL INPUT'!Y39</f>
        <v>12</v>
      </c>
      <c r="Y40" s="215">
        <f>'ADJ DETAIL INPUT'!Z39</f>
        <v>0</v>
      </c>
      <c r="Z40" s="215">
        <f>'ADJ DETAIL INPUT'!AA39</f>
        <v>7</v>
      </c>
      <c r="AA40" s="215">
        <f>'ADJ DETAIL INPUT'!AB39</f>
        <v>0</v>
      </c>
      <c r="AB40" s="215">
        <f>'ADJ DETAIL INPUT'!AC39</f>
        <v>0</v>
      </c>
      <c r="AC40" s="215">
        <f>'ADJ DETAIL INPUT'!AD39</f>
        <v>0</v>
      </c>
      <c r="AD40" s="215">
        <f>'ADJ DETAIL INPUT'!AE39</f>
        <v>0</v>
      </c>
      <c r="AE40" s="215">
        <f>'ADJ DETAIL INPUT'!AF39</f>
        <v>0</v>
      </c>
      <c r="AF40" s="215">
        <f>'ADJ DETAIL INPUT'!AG39</f>
        <v>0</v>
      </c>
      <c r="AG40" s="215">
        <f>'ADJ DETAIL INPUT'!AH39</f>
        <v>0</v>
      </c>
      <c r="AH40" s="215">
        <f>'ADJ DETAIL INPUT'!AI39</f>
        <v>0</v>
      </c>
      <c r="AI40" s="215">
        <f>'ADJ DETAIL INPUT'!AL39</f>
        <v>0</v>
      </c>
      <c r="AJ40" s="215">
        <f>'ADJ DETAIL INPUT'!AM39</f>
        <v>0</v>
      </c>
      <c r="AK40" s="215">
        <f>'ADJ DETAIL INPUT'!AN39</f>
        <v>0</v>
      </c>
      <c r="AL40" s="215">
        <f>'ADJ DETAIL INPUT'!AO39</f>
        <v>0</v>
      </c>
      <c r="AM40" s="215">
        <f>'ADJ DETAIL INPUT'!AP39</f>
        <v>0</v>
      </c>
      <c r="AN40" s="215">
        <f>'ADJ DETAIL INPUT'!AQ39</f>
        <v>0</v>
      </c>
      <c r="AO40" s="215">
        <f>'ADJ DETAIL INPUT'!AR39</f>
        <v>0</v>
      </c>
      <c r="AP40" s="215">
        <f>'ADJ DETAIL INPUT'!AT39</f>
        <v>0</v>
      </c>
    </row>
    <row r="41" spans="1:42">
      <c r="A41" s="192">
        <v>19</v>
      </c>
      <c r="B41" s="168" t="s">
        <v>52</v>
      </c>
      <c r="C41" s="194"/>
      <c r="D41" s="194"/>
      <c r="E41" s="215">
        <f>'ADJ DETAIL INPUT'!E40</f>
        <v>0</v>
      </c>
      <c r="F41" s="215">
        <f>'ADJ DETAIL INPUT'!F40</f>
        <v>0</v>
      </c>
      <c r="G41" s="215">
        <f>'ADJ DETAIL INPUT'!G40</f>
        <v>0</v>
      </c>
      <c r="H41" s="215">
        <f>'ADJ DETAIL INPUT'!H40</f>
        <v>0</v>
      </c>
      <c r="I41" s="215">
        <f>'ADJ DETAIL INPUT'!I40</f>
        <v>0</v>
      </c>
      <c r="J41" s="215">
        <f>'ADJ DETAIL INPUT'!J40</f>
        <v>0</v>
      </c>
      <c r="K41" s="215">
        <f>'ADJ DETAIL INPUT'!K40</f>
        <v>0</v>
      </c>
      <c r="L41" s="215">
        <f>'ADJ DETAIL INPUT'!L40</f>
        <v>0</v>
      </c>
      <c r="M41" s="215">
        <f>'ADJ DETAIL INPUT'!M40</f>
        <v>0</v>
      </c>
      <c r="N41" s="215">
        <f>'ADJ DETAIL INPUT'!N40</f>
        <v>0</v>
      </c>
      <c r="O41" s="215">
        <f>'ADJ DETAIL INPUT'!O40</f>
        <v>0</v>
      </c>
      <c r="P41" s="215">
        <f>'ADJ DETAIL INPUT'!P40</f>
        <v>0</v>
      </c>
      <c r="Q41" s="215">
        <f>'ADJ DETAIL INPUT'!Q40</f>
        <v>0</v>
      </c>
      <c r="R41" s="215">
        <f>'ADJ DETAIL INPUT'!R40</f>
        <v>0</v>
      </c>
      <c r="S41" s="215">
        <f>'ADJ DETAIL INPUT'!S40</f>
        <v>0</v>
      </c>
      <c r="T41" s="215">
        <f>'ADJ DETAIL INPUT'!T40</f>
        <v>0</v>
      </c>
      <c r="U41" s="215">
        <f>'ADJ DETAIL INPUT'!U40</f>
        <v>0</v>
      </c>
      <c r="V41" s="215">
        <f>'ADJ DETAIL INPUT'!V40</f>
        <v>0</v>
      </c>
      <c r="W41" s="215">
        <f>'ADJ DETAIL INPUT'!W40</f>
        <v>0</v>
      </c>
      <c r="X41" s="215">
        <f>'ADJ DETAIL INPUT'!Y40</f>
        <v>0.13</v>
      </c>
      <c r="Y41" s="215">
        <f>'ADJ DETAIL INPUT'!Z40</f>
        <v>0</v>
      </c>
      <c r="Z41" s="215">
        <f>'ADJ DETAIL INPUT'!AA40</f>
        <v>0</v>
      </c>
      <c r="AA41" s="215">
        <f>'ADJ DETAIL INPUT'!AB40</f>
        <v>0</v>
      </c>
      <c r="AB41" s="215">
        <f>'ADJ DETAIL INPUT'!AC40</f>
        <v>0</v>
      </c>
      <c r="AC41" s="215">
        <f>'ADJ DETAIL INPUT'!AD40</f>
        <v>0</v>
      </c>
      <c r="AD41" s="215">
        <f>'ADJ DETAIL INPUT'!AE40</f>
        <v>0</v>
      </c>
      <c r="AE41" s="215">
        <f>'ADJ DETAIL INPUT'!AF40</f>
        <v>0</v>
      </c>
      <c r="AF41" s="215">
        <f>'ADJ DETAIL INPUT'!AG40</f>
        <v>0</v>
      </c>
      <c r="AG41" s="215">
        <f>'ADJ DETAIL INPUT'!AH40</f>
        <v>0</v>
      </c>
      <c r="AH41" s="215">
        <f>'ADJ DETAIL INPUT'!AI40</f>
        <v>0</v>
      </c>
      <c r="AI41" s="215">
        <f>'ADJ DETAIL INPUT'!AL40</f>
        <v>0</v>
      </c>
      <c r="AJ41" s="215">
        <f>'ADJ DETAIL INPUT'!AM40</f>
        <v>0</v>
      </c>
      <c r="AK41" s="215">
        <f>'ADJ DETAIL INPUT'!AN40</f>
        <v>0</v>
      </c>
      <c r="AL41" s="215">
        <f>'ADJ DETAIL INPUT'!AO40</f>
        <v>0</v>
      </c>
      <c r="AM41" s="215">
        <f>'ADJ DETAIL INPUT'!AP40</f>
        <v>0</v>
      </c>
      <c r="AN41" s="215">
        <f>'ADJ DETAIL INPUT'!AQ40</f>
        <v>0</v>
      </c>
      <c r="AO41" s="215">
        <f>'ADJ DETAIL INPUT'!AR40</f>
        <v>0</v>
      </c>
      <c r="AP41" s="215">
        <f>'ADJ DETAIL INPUT'!AT40</f>
        <v>0</v>
      </c>
    </row>
    <row r="42" spans="1:42">
      <c r="C42" s="194"/>
      <c r="D42" s="19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row>
    <row r="43" spans="1:42">
      <c r="B43" s="168" t="s">
        <v>53</v>
      </c>
      <c r="C43" s="194"/>
      <c r="D43" s="19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row>
    <row r="44" spans="1:42">
      <c r="A44" s="192">
        <v>20</v>
      </c>
      <c r="C44" s="194" t="s">
        <v>45</v>
      </c>
      <c r="D44" s="194"/>
      <c r="E44" s="215">
        <f>'ADJ DETAIL INPUT'!E43</f>
        <v>13388</v>
      </c>
      <c r="F44" s="215">
        <f>'ADJ DETAIL INPUT'!F43</f>
        <v>0</v>
      </c>
      <c r="G44" s="215">
        <f>'ADJ DETAIL INPUT'!G43</f>
        <v>0</v>
      </c>
      <c r="H44" s="215">
        <f>'ADJ DETAIL INPUT'!H43</f>
        <v>0</v>
      </c>
      <c r="I44" s="215">
        <f>'ADJ DETAIL INPUT'!I43</f>
        <v>0</v>
      </c>
      <c r="J44" s="215">
        <f>'ADJ DETAIL INPUT'!J43</f>
        <v>0</v>
      </c>
      <c r="K44" s="215">
        <f>'ADJ DETAIL INPUT'!K43</f>
        <v>0</v>
      </c>
      <c r="L44" s="215">
        <f>'ADJ DETAIL INPUT'!L43</f>
        <v>-12</v>
      </c>
      <c r="M44" s="215">
        <f>'ADJ DETAIL INPUT'!M43</f>
        <v>231</v>
      </c>
      <c r="N44" s="215">
        <f>'ADJ DETAIL INPUT'!N43</f>
        <v>0</v>
      </c>
      <c r="O44" s="215">
        <f>'ADJ DETAIL INPUT'!O43</f>
        <v>-9</v>
      </c>
      <c r="P44" s="215">
        <f>'ADJ DETAIL INPUT'!P43</f>
        <v>0</v>
      </c>
      <c r="Q44" s="215">
        <f>'ADJ DETAIL INPUT'!Q43</f>
        <v>0</v>
      </c>
      <c r="R44" s="215">
        <f>'ADJ DETAIL INPUT'!R43</f>
        <v>26</v>
      </c>
      <c r="S44" s="215">
        <f>'ADJ DETAIL INPUT'!S43</f>
        <v>-7</v>
      </c>
      <c r="T44" s="215">
        <f>'ADJ DETAIL INPUT'!T43</f>
        <v>-222</v>
      </c>
      <c r="U44" s="215">
        <f>'ADJ DETAIL INPUT'!U43</f>
        <v>0</v>
      </c>
      <c r="V44" s="215">
        <f>'ADJ DETAIL INPUT'!V43</f>
        <v>36</v>
      </c>
      <c r="W44" s="215">
        <f>'ADJ DETAIL INPUT'!W43</f>
        <v>0</v>
      </c>
      <c r="X44" s="215">
        <f>'ADJ DETAIL INPUT'!Y43</f>
        <v>176</v>
      </c>
      <c r="Y44" s="215">
        <f>'ADJ DETAIL INPUT'!Z43</f>
        <v>12</v>
      </c>
      <c r="Z44" s="215">
        <f>'ADJ DETAIL INPUT'!AA43</f>
        <v>108</v>
      </c>
      <c r="AA44" s="215">
        <f>'ADJ DETAIL INPUT'!AB43</f>
        <v>0</v>
      </c>
      <c r="AB44" s="215">
        <f>'ADJ DETAIL INPUT'!AC43</f>
        <v>0</v>
      </c>
      <c r="AC44" s="215">
        <f>'ADJ DETAIL INPUT'!AD43</f>
        <v>-144</v>
      </c>
      <c r="AD44" s="215">
        <f>'ADJ DETAIL INPUT'!AE43</f>
        <v>0</v>
      </c>
      <c r="AE44" s="215">
        <f>'ADJ DETAIL INPUT'!AF43</f>
        <v>0</v>
      </c>
      <c r="AF44" s="215">
        <f>'ADJ DETAIL INPUT'!AG43</f>
        <v>0</v>
      </c>
      <c r="AG44" s="215">
        <f>'ADJ DETAIL INPUT'!AH43</f>
        <v>0</v>
      </c>
      <c r="AH44" s="215">
        <f>'ADJ DETAIL INPUT'!AI43</f>
        <v>-34</v>
      </c>
      <c r="AI44" s="215">
        <f>'ADJ DETAIL INPUT'!AL43</f>
        <v>0</v>
      </c>
      <c r="AJ44" s="215">
        <f>'ADJ DETAIL INPUT'!AM43</f>
        <v>0</v>
      </c>
      <c r="AK44" s="215">
        <f>'ADJ DETAIL INPUT'!AN43</f>
        <v>0</v>
      </c>
      <c r="AL44" s="215">
        <f>'ADJ DETAIL INPUT'!AO43</f>
        <v>0</v>
      </c>
      <c r="AM44" s="215">
        <f>'ADJ DETAIL INPUT'!AP43</f>
        <v>0</v>
      </c>
      <c r="AN44" s="215">
        <f>'ADJ DETAIL INPUT'!AQ43</f>
        <v>0</v>
      </c>
      <c r="AO44" s="215">
        <f>'ADJ DETAIL INPUT'!AR43</f>
        <v>0</v>
      </c>
      <c r="AP44" s="215">
        <f>'ADJ DETAIL INPUT'!AT43</f>
        <v>0</v>
      </c>
    </row>
    <row r="45" spans="1:42">
      <c r="A45" s="192">
        <v>21</v>
      </c>
      <c r="C45" s="194" t="s">
        <v>208</v>
      </c>
      <c r="D45" s="194"/>
      <c r="E45" s="215">
        <f>'ADJ DETAIL INPUT'!E44</f>
        <v>5206</v>
      </c>
      <c r="F45" s="215">
        <f>'ADJ DETAIL INPUT'!F44</f>
        <v>0</v>
      </c>
      <c r="G45" s="215">
        <f>'ADJ DETAIL INPUT'!G44</f>
        <v>0</v>
      </c>
      <c r="H45" s="215">
        <f>'ADJ DETAIL INPUT'!H44</f>
        <v>0</v>
      </c>
      <c r="I45" s="215">
        <f>'ADJ DETAIL INPUT'!I44</f>
        <v>0</v>
      </c>
      <c r="J45" s="215">
        <f>'ADJ DETAIL INPUT'!J44</f>
        <v>0</v>
      </c>
      <c r="K45" s="215">
        <f>'ADJ DETAIL INPUT'!K44</f>
        <v>0</v>
      </c>
      <c r="L45" s="215">
        <f>'ADJ DETAIL INPUT'!L44</f>
        <v>0</v>
      </c>
      <c r="M45" s="215">
        <f>'ADJ DETAIL INPUT'!M44</f>
        <v>0</v>
      </c>
      <c r="N45" s="215">
        <f>'ADJ DETAIL INPUT'!N44</f>
        <v>0</v>
      </c>
      <c r="O45" s="215">
        <f>'ADJ DETAIL INPUT'!O44</f>
        <v>0</v>
      </c>
      <c r="P45" s="215">
        <f>'ADJ DETAIL INPUT'!P44</f>
        <v>0</v>
      </c>
      <c r="Q45" s="215">
        <f>'ADJ DETAIL INPUT'!Q44</f>
        <v>0</v>
      </c>
      <c r="R45" s="215">
        <f>'ADJ DETAIL INPUT'!R44</f>
        <v>0</v>
      </c>
      <c r="S45" s="215">
        <f>'ADJ DETAIL INPUT'!S44</f>
        <v>0</v>
      </c>
      <c r="T45" s="215">
        <f>'ADJ DETAIL INPUT'!T44</f>
        <v>0</v>
      </c>
      <c r="U45" s="215">
        <f>'ADJ DETAIL INPUT'!U44</f>
        <v>0</v>
      </c>
      <c r="V45" s="215">
        <f>'ADJ DETAIL INPUT'!V44</f>
        <v>0</v>
      </c>
      <c r="W45" s="215">
        <f>'ADJ DETAIL INPUT'!W44</f>
        <v>0</v>
      </c>
      <c r="X45" s="215">
        <f>'ADJ DETAIL INPUT'!Y44</f>
        <v>0</v>
      </c>
      <c r="Y45" s="215">
        <f>'ADJ DETAIL INPUT'!Z44</f>
        <v>0</v>
      </c>
      <c r="Z45" s="215">
        <f>'ADJ DETAIL INPUT'!AA44</f>
        <v>0</v>
      </c>
      <c r="AA45" s="215">
        <f>'ADJ DETAIL INPUT'!AB44</f>
        <v>0</v>
      </c>
      <c r="AB45" s="215">
        <f>'ADJ DETAIL INPUT'!AC44</f>
        <v>0</v>
      </c>
      <c r="AC45" s="215">
        <f>'ADJ DETAIL INPUT'!AD44</f>
        <v>0</v>
      </c>
      <c r="AD45" s="215">
        <f>'ADJ DETAIL INPUT'!AE44</f>
        <v>0</v>
      </c>
      <c r="AE45" s="215">
        <f>'ADJ DETAIL INPUT'!AF44</f>
        <v>0</v>
      </c>
      <c r="AF45" s="215">
        <f>'ADJ DETAIL INPUT'!AG44</f>
        <v>443</v>
      </c>
      <c r="AG45" s="215">
        <f>'ADJ DETAIL INPUT'!AH44</f>
        <v>39</v>
      </c>
      <c r="AH45" s="215">
        <f>'ADJ DETAIL INPUT'!AI44</f>
        <v>0</v>
      </c>
      <c r="AI45" s="215">
        <f>'ADJ DETAIL INPUT'!AL44</f>
        <v>0</v>
      </c>
      <c r="AJ45" s="215">
        <f>'ADJ DETAIL INPUT'!AM44</f>
        <v>0</v>
      </c>
      <c r="AK45" s="215">
        <f>'ADJ DETAIL INPUT'!AN44</f>
        <v>0</v>
      </c>
      <c r="AL45" s="215">
        <f>'ADJ DETAIL INPUT'!AO44</f>
        <v>0</v>
      </c>
      <c r="AM45" s="215">
        <f>'ADJ DETAIL INPUT'!AP44</f>
        <v>0</v>
      </c>
      <c r="AN45" s="215">
        <f>'ADJ DETAIL INPUT'!AQ44</f>
        <v>0</v>
      </c>
      <c r="AO45" s="215">
        <f>'ADJ DETAIL INPUT'!AR44</f>
        <v>0</v>
      </c>
      <c r="AP45" s="215">
        <f>'ADJ DETAIL INPUT'!AT44</f>
        <v>0</v>
      </c>
    </row>
    <row r="46" spans="1:42">
      <c r="A46" s="192">
        <v>22</v>
      </c>
      <c r="C46" s="9" t="s">
        <v>425</v>
      </c>
      <c r="D46" s="194"/>
      <c r="E46" s="215">
        <f>'ADJ DETAIL INPUT'!E45</f>
        <v>0</v>
      </c>
      <c r="F46" s="215">
        <f>'ADJ DETAIL INPUT'!F45</f>
        <v>0</v>
      </c>
      <c r="G46" s="215">
        <f>'ADJ DETAIL INPUT'!G45</f>
        <v>0</v>
      </c>
      <c r="H46" s="215">
        <f>'ADJ DETAIL INPUT'!H45</f>
        <v>0</v>
      </c>
      <c r="I46" s="215">
        <f>'ADJ DETAIL INPUT'!I45</f>
        <v>0</v>
      </c>
      <c r="J46" s="215">
        <f>'ADJ DETAIL INPUT'!J45</f>
        <v>0</v>
      </c>
      <c r="K46" s="215">
        <f>'ADJ DETAIL INPUT'!K45</f>
        <v>0</v>
      </c>
      <c r="L46" s="215">
        <f>'ADJ DETAIL INPUT'!L45</f>
        <v>0</v>
      </c>
      <c r="M46" s="215">
        <f>'ADJ DETAIL INPUT'!M45</f>
        <v>0</v>
      </c>
      <c r="N46" s="215">
        <f>'ADJ DETAIL INPUT'!N45</f>
        <v>0</v>
      </c>
      <c r="O46" s="215">
        <f>'ADJ DETAIL INPUT'!O45</f>
        <v>0</v>
      </c>
      <c r="P46" s="215">
        <f>'ADJ DETAIL INPUT'!P45</f>
        <v>0</v>
      </c>
      <c r="Q46" s="215">
        <f>'ADJ DETAIL INPUT'!Q45</f>
        <v>0</v>
      </c>
      <c r="R46" s="215">
        <f>'ADJ DETAIL INPUT'!R45</f>
        <v>0</v>
      </c>
      <c r="S46" s="215">
        <f>'ADJ DETAIL INPUT'!S45</f>
        <v>0</v>
      </c>
      <c r="T46" s="215">
        <f>'ADJ DETAIL INPUT'!T45</f>
        <v>0</v>
      </c>
      <c r="U46" s="215">
        <f>'ADJ DETAIL INPUT'!U45</f>
        <v>0</v>
      </c>
      <c r="V46" s="215">
        <f>'ADJ DETAIL INPUT'!V45</f>
        <v>0</v>
      </c>
      <c r="W46" s="215">
        <f>'ADJ DETAIL INPUT'!W45</f>
        <v>-1505</v>
      </c>
      <c r="X46" s="215">
        <f>'ADJ DETAIL INPUT'!Y45</f>
        <v>0</v>
      </c>
      <c r="Y46" s="215">
        <f>'ADJ DETAIL INPUT'!Z45</f>
        <v>0</v>
      </c>
      <c r="Z46" s="215">
        <f>'ADJ DETAIL INPUT'!AA45</f>
        <v>0</v>
      </c>
      <c r="AA46" s="215">
        <f>'ADJ DETAIL INPUT'!AB45</f>
        <v>0</v>
      </c>
      <c r="AB46" s="215">
        <f>'ADJ DETAIL INPUT'!AC45</f>
        <v>0</v>
      </c>
      <c r="AC46" s="215">
        <f>'ADJ DETAIL INPUT'!AD45</f>
        <v>0</v>
      </c>
      <c r="AD46" s="215">
        <f>'ADJ DETAIL INPUT'!AE45</f>
        <v>0</v>
      </c>
      <c r="AE46" s="215">
        <f>'ADJ DETAIL INPUT'!AF45</f>
        <v>2584</v>
      </c>
      <c r="AF46" s="215">
        <f>'ADJ DETAIL INPUT'!AG45</f>
        <v>0</v>
      </c>
      <c r="AG46" s="215">
        <f>'ADJ DETAIL INPUT'!AH45</f>
        <v>0</v>
      </c>
      <c r="AH46" s="215">
        <f>'ADJ DETAIL INPUT'!AI45</f>
        <v>0</v>
      </c>
      <c r="AI46" s="215">
        <f>'ADJ DETAIL INPUT'!AL45</f>
        <v>0</v>
      </c>
      <c r="AJ46" s="215">
        <f>'ADJ DETAIL INPUT'!AM45</f>
        <v>0</v>
      </c>
      <c r="AK46" s="215">
        <f>'ADJ DETAIL INPUT'!AN45</f>
        <v>0</v>
      </c>
      <c r="AL46" s="215">
        <f>'ADJ DETAIL INPUT'!AO45</f>
        <v>0</v>
      </c>
      <c r="AM46" s="215">
        <f>'ADJ DETAIL INPUT'!AP45</f>
        <v>0</v>
      </c>
      <c r="AN46" s="215">
        <f>'ADJ DETAIL INPUT'!AQ45</f>
        <v>0</v>
      </c>
      <c r="AO46" s="215">
        <f>'ADJ DETAIL INPUT'!AR45</f>
        <v>0</v>
      </c>
      <c r="AP46" s="215">
        <f>'ADJ DETAIL INPUT'!AT45</f>
        <v>0</v>
      </c>
    </row>
    <row r="47" spans="1:42">
      <c r="A47" s="192">
        <v>23</v>
      </c>
      <c r="C47" s="194" t="s">
        <v>22</v>
      </c>
      <c r="D47" s="194"/>
      <c r="E47" s="216">
        <f>'ADJ DETAIL INPUT'!E46</f>
        <v>0</v>
      </c>
      <c r="F47" s="216">
        <f>'ADJ DETAIL INPUT'!F46</f>
        <v>0</v>
      </c>
      <c r="G47" s="216">
        <f>'ADJ DETAIL INPUT'!G46</f>
        <v>0</v>
      </c>
      <c r="H47" s="216">
        <f>'ADJ DETAIL INPUT'!H46</f>
        <v>0</v>
      </c>
      <c r="I47" s="216">
        <f>'ADJ DETAIL INPUT'!I46</f>
        <v>0</v>
      </c>
      <c r="J47" s="216">
        <f>'ADJ DETAIL INPUT'!J46</f>
        <v>0</v>
      </c>
      <c r="K47" s="216">
        <f>'ADJ DETAIL INPUT'!K46</f>
        <v>0</v>
      </c>
      <c r="L47" s="216">
        <f>'ADJ DETAIL INPUT'!L46</f>
        <v>0</v>
      </c>
      <c r="M47" s="216">
        <f>'ADJ DETAIL INPUT'!M46</f>
        <v>0</v>
      </c>
      <c r="N47" s="216">
        <f>'ADJ DETAIL INPUT'!N46</f>
        <v>0</v>
      </c>
      <c r="O47" s="216">
        <f>'ADJ DETAIL INPUT'!O46</f>
        <v>0</v>
      </c>
      <c r="P47" s="216">
        <f>'ADJ DETAIL INPUT'!P46</f>
        <v>0</v>
      </c>
      <c r="Q47" s="216">
        <f>'ADJ DETAIL INPUT'!Q46</f>
        <v>0</v>
      </c>
      <c r="R47" s="216">
        <f>'ADJ DETAIL INPUT'!R46</f>
        <v>0</v>
      </c>
      <c r="S47" s="216">
        <f>'ADJ DETAIL INPUT'!S46</f>
        <v>0</v>
      </c>
      <c r="T47" s="216">
        <f>'ADJ DETAIL INPUT'!T46</f>
        <v>0</v>
      </c>
      <c r="U47" s="216">
        <f>'ADJ DETAIL INPUT'!U46</f>
        <v>0</v>
      </c>
      <c r="V47" s="216">
        <f>'ADJ DETAIL INPUT'!V46</f>
        <v>0</v>
      </c>
      <c r="W47" s="216">
        <f>'ADJ DETAIL INPUT'!W46</f>
        <v>0</v>
      </c>
      <c r="X47" s="216">
        <f>'ADJ DETAIL INPUT'!Y46</f>
        <v>0</v>
      </c>
      <c r="Y47" s="216">
        <f>'ADJ DETAIL INPUT'!Z46</f>
        <v>0</v>
      </c>
      <c r="Z47" s="216">
        <f>'ADJ DETAIL INPUT'!AA46</f>
        <v>0</v>
      </c>
      <c r="AA47" s="216">
        <f>'ADJ DETAIL INPUT'!AB46</f>
        <v>0</v>
      </c>
      <c r="AB47" s="216">
        <f>'ADJ DETAIL INPUT'!AC46</f>
        <v>0</v>
      </c>
      <c r="AC47" s="216">
        <f>'ADJ DETAIL INPUT'!AD46</f>
        <v>0</v>
      </c>
      <c r="AD47" s="216">
        <f>'ADJ DETAIL INPUT'!AE46</f>
        <v>0</v>
      </c>
      <c r="AE47" s="216">
        <f>'ADJ DETAIL INPUT'!AF46</f>
        <v>0</v>
      </c>
      <c r="AF47" s="216">
        <f>'ADJ DETAIL INPUT'!AG46</f>
        <v>0</v>
      </c>
      <c r="AG47" s="216">
        <f>'ADJ DETAIL INPUT'!AH46</f>
        <v>0</v>
      </c>
      <c r="AH47" s="216">
        <f>'ADJ DETAIL INPUT'!AI46</f>
        <v>0</v>
      </c>
      <c r="AI47" s="216">
        <f>'ADJ DETAIL INPUT'!AL46</f>
        <v>0</v>
      </c>
      <c r="AJ47" s="216">
        <f>'ADJ DETAIL INPUT'!AM46</f>
        <v>0</v>
      </c>
      <c r="AK47" s="216">
        <f>'ADJ DETAIL INPUT'!AN46</f>
        <v>0</v>
      </c>
      <c r="AL47" s="216">
        <f>'ADJ DETAIL INPUT'!AO46</f>
        <v>0</v>
      </c>
      <c r="AM47" s="216">
        <f>'ADJ DETAIL INPUT'!AP46</f>
        <v>0</v>
      </c>
      <c r="AN47" s="216">
        <f>'ADJ DETAIL INPUT'!AQ46</f>
        <v>0</v>
      </c>
      <c r="AO47" s="216">
        <f>'ADJ DETAIL INPUT'!AR46</f>
        <v>0</v>
      </c>
      <c r="AP47" s="216">
        <f>'ADJ DETAIL INPUT'!AT46</f>
        <v>0</v>
      </c>
    </row>
    <row r="48" spans="1:42">
      <c r="A48" s="192">
        <v>24</v>
      </c>
      <c r="B48" s="194" t="s">
        <v>54</v>
      </c>
      <c r="C48" s="194"/>
      <c r="E48" s="216">
        <f>SUM(E44:E47)</f>
        <v>18594</v>
      </c>
      <c r="F48" s="216">
        <f t="shared" ref="F48:AB48" si="34">SUM(F44:F47)</f>
        <v>0</v>
      </c>
      <c r="G48" s="216">
        <f t="shared" si="34"/>
        <v>0</v>
      </c>
      <c r="H48" s="216">
        <f t="shared" si="34"/>
        <v>0</v>
      </c>
      <c r="I48" s="216">
        <f t="shared" si="34"/>
        <v>0</v>
      </c>
      <c r="J48" s="216">
        <f t="shared" si="34"/>
        <v>0</v>
      </c>
      <c r="K48" s="216">
        <f t="shared" si="34"/>
        <v>0</v>
      </c>
      <c r="L48" s="216">
        <f t="shared" si="34"/>
        <v>-12</v>
      </c>
      <c r="M48" s="216">
        <f t="shared" si="34"/>
        <v>231</v>
      </c>
      <c r="N48" s="216">
        <f t="shared" si="34"/>
        <v>0</v>
      </c>
      <c r="O48" s="216">
        <f t="shared" si="34"/>
        <v>-9</v>
      </c>
      <c r="P48" s="216">
        <f t="shared" si="34"/>
        <v>0</v>
      </c>
      <c r="Q48" s="216">
        <f t="shared" si="34"/>
        <v>0</v>
      </c>
      <c r="R48" s="216">
        <f t="shared" si="34"/>
        <v>26</v>
      </c>
      <c r="S48" s="216">
        <f t="shared" ref="S48" si="35">SUM(S44:S47)</f>
        <v>-7</v>
      </c>
      <c r="T48" s="216">
        <f t="shared" si="34"/>
        <v>-222</v>
      </c>
      <c r="U48" s="216">
        <f>SUM(U44:U47)</f>
        <v>0</v>
      </c>
      <c r="V48" s="216">
        <f t="shared" si="34"/>
        <v>36</v>
      </c>
      <c r="W48" s="216">
        <f t="shared" ref="W48" si="36">SUM(W44:W47)</f>
        <v>-1505</v>
      </c>
      <c r="X48" s="216">
        <f t="shared" si="34"/>
        <v>176</v>
      </c>
      <c r="Y48" s="216">
        <f t="shared" ref="Y48" si="37">SUM(Y44:Y47)</f>
        <v>12</v>
      </c>
      <c r="Z48" s="216">
        <f t="shared" si="34"/>
        <v>108</v>
      </c>
      <c r="AA48" s="216">
        <f>SUM(AA44:AA47)</f>
        <v>0</v>
      </c>
      <c r="AB48" s="216">
        <f t="shared" si="34"/>
        <v>0</v>
      </c>
      <c r="AC48" s="216">
        <f t="shared" ref="AC48:AP48" si="38">SUM(AC44:AC47)</f>
        <v>-144</v>
      </c>
      <c r="AD48" s="216">
        <f>SUM(AD44:AD47)</f>
        <v>0</v>
      </c>
      <c r="AE48" s="216">
        <f t="shared" si="38"/>
        <v>2584</v>
      </c>
      <c r="AF48" s="216">
        <f t="shared" si="38"/>
        <v>443</v>
      </c>
      <c r="AG48" s="216">
        <f t="shared" si="38"/>
        <v>39</v>
      </c>
      <c r="AH48" s="216">
        <f t="shared" si="38"/>
        <v>-34</v>
      </c>
      <c r="AI48" s="216">
        <f t="shared" ref="AI48" si="39">SUM(AI44:AI47)</f>
        <v>0</v>
      </c>
      <c r="AJ48" s="216">
        <f t="shared" si="38"/>
        <v>0</v>
      </c>
      <c r="AK48" s="216">
        <f t="shared" si="38"/>
        <v>0</v>
      </c>
      <c r="AL48" s="216">
        <f t="shared" si="38"/>
        <v>0</v>
      </c>
      <c r="AM48" s="216">
        <f t="shared" ref="AM48" si="40">SUM(AM44:AM47)</f>
        <v>0</v>
      </c>
      <c r="AN48" s="216">
        <f t="shared" si="38"/>
        <v>0</v>
      </c>
      <c r="AO48" s="216">
        <f t="shared" ref="AO48" si="41">SUM(AO44:AO47)</f>
        <v>0</v>
      </c>
      <c r="AP48" s="216">
        <f t="shared" si="38"/>
        <v>0</v>
      </c>
    </row>
    <row r="49" spans="1:42" ht="19.5" customHeight="1">
      <c r="A49" s="192">
        <v>25</v>
      </c>
      <c r="B49" s="168" t="s">
        <v>55</v>
      </c>
      <c r="C49" s="194"/>
      <c r="D49" s="194"/>
      <c r="E49" s="216">
        <f t="shared" ref="E49" si="42">E21+E25+E31+E37+E39+E40+E41+E48</f>
        <v>241428</v>
      </c>
      <c r="F49" s="216">
        <f t="shared" ref="F49:AB49" si="43">F21+F25+F31+F37+F39+F40+F41+F48</f>
        <v>0</v>
      </c>
      <c r="G49" s="216">
        <f t="shared" si="43"/>
        <v>1</v>
      </c>
      <c r="H49" s="216">
        <f t="shared" si="43"/>
        <v>0</v>
      </c>
      <c r="I49" s="216">
        <f t="shared" si="43"/>
        <v>-5612</v>
      </c>
      <c r="J49" s="216">
        <f t="shared" si="43"/>
        <v>-351</v>
      </c>
      <c r="K49" s="216">
        <f t="shared" si="43"/>
        <v>-313</v>
      </c>
      <c r="L49" s="216">
        <f t="shared" si="43"/>
        <v>-12</v>
      </c>
      <c r="M49" s="216">
        <f t="shared" si="43"/>
        <v>231</v>
      </c>
      <c r="N49" s="216">
        <f t="shared" si="43"/>
        <v>0</v>
      </c>
      <c r="O49" s="216">
        <f t="shared" si="43"/>
        <v>-9</v>
      </c>
      <c r="P49" s="216">
        <f t="shared" si="43"/>
        <v>-5</v>
      </c>
      <c r="Q49" s="216">
        <f t="shared" si="43"/>
        <v>-6</v>
      </c>
      <c r="R49" s="216">
        <f t="shared" si="43"/>
        <v>11208</v>
      </c>
      <c r="S49" s="216">
        <f t="shared" ref="S49" si="44">S21+S25+S31+S37+S39+S40+S41+S48</f>
        <v>-102717</v>
      </c>
      <c r="T49" s="216">
        <f t="shared" si="43"/>
        <v>-222</v>
      </c>
      <c r="U49" s="216">
        <f>U21+U25+U31+U37+U39+U40+U41+U48</f>
        <v>0</v>
      </c>
      <c r="V49" s="216">
        <f t="shared" si="43"/>
        <v>134</v>
      </c>
      <c r="W49" s="216">
        <f t="shared" ref="W49" si="45">W21+W25+W31+W37+W39+W40+W41+W48</f>
        <v>-1505</v>
      </c>
      <c r="X49" s="216">
        <f t="shared" si="43"/>
        <v>644.13</v>
      </c>
      <c r="Y49" s="216">
        <f t="shared" ref="Y49" si="46">Y21+Y25+Y31+Y37+Y39+Y40+Y41+Y48</f>
        <v>-13</v>
      </c>
      <c r="Z49" s="216">
        <f t="shared" si="43"/>
        <v>399</v>
      </c>
      <c r="AA49" s="216">
        <f>AA21+AA25+AA31+AA37+AA39+AA40+AA41+AA48</f>
        <v>0</v>
      </c>
      <c r="AB49" s="216">
        <f t="shared" si="43"/>
        <v>230</v>
      </c>
      <c r="AC49" s="216">
        <f t="shared" ref="AC49:AP49" si="47">AC21+AC25+AC31+AC37+AC39+AC40+AC41+AC48</f>
        <v>-89890</v>
      </c>
      <c r="AD49" s="216">
        <f>AD21+AD25+AD31+AD37+AD39+AD40+AD41+AD48</f>
        <v>236</v>
      </c>
      <c r="AE49" s="216">
        <f t="shared" si="47"/>
        <v>2584</v>
      </c>
      <c r="AF49" s="216">
        <f t="shared" si="47"/>
        <v>616</v>
      </c>
      <c r="AG49" s="216">
        <f t="shared" si="47"/>
        <v>72</v>
      </c>
      <c r="AH49" s="216">
        <f t="shared" si="47"/>
        <v>-34</v>
      </c>
      <c r="AI49" s="216">
        <f t="shared" ref="AI49" si="48">AI21+AI25+AI31+AI37+AI39+AI40+AI41+AI48</f>
        <v>0</v>
      </c>
      <c r="AJ49" s="216">
        <f t="shared" si="47"/>
        <v>0</v>
      </c>
      <c r="AK49" s="216">
        <f t="shared" si="47"/>
        <v>0</v>
      </c>
      <c r="AL49" s="216">
        <f t="shared" si="47"/>
        <v>0</v>
      </c>
      <c r="AM49" s="216">
        <f t="shared" ref="AM49" si="49">AM21+AM25+AM31+AM37+AM39+AM40+AM41+AM48</f>
        <v>0</v>
      </c>
      <c r="AN49" s="216">
        <f t="shared" si="47"/>
        <v>0</v>
      </c>
      <c r="AO49" s="216">
        <f t="shared" ref="AO49" si="50">AO21+AO25+AO31+AO37+AO39+AO40+AO41+AO48</f>
        <v>0</v>
      </c>
      <c r="AP49" s="216">
        <f t="shared" si="47"/>
        <v>0</v>
      </c>
    </row>
    <row r="50" spans="1:42">
      <c r="C50" s="194"/>
      <c r="D50" s="19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row>
    <row r="51" spans="1:42" ht="13" customHeight="1">
      <c r="A51" s="192">
        <v>26</v>
      </c>
      <c r="B51" s="168" t="s">
        <v>56</v>
      </c>
      <c r="C51" s="194"/>
      <c r="D51" s="194"/>
      <c r="E51" s="215">
        <f>E18-E49</f>
        <v>20266</v>
      </c>
      <c r="F51" s="215">
        <f t="shared" ref="F51:AB51" si="51">F18-F49</f>
        <v>0</v>
      </c>
      <c r="G51" s="215">
        <f t="shared" si="51"/>
        <v>-1</v>
      </c>
      <c r="H51" s="215">
        <f t="shared" si="51"/>
        <v>0</v>
      </c>
      <c r="I51" s="215">
        <f t="shared" si="51"/>
        <v>-14</v>
      </c>
      <c r="J51" s="215">
        <f t="shared" si="51"/>
        <v>351</v>
      </c>
      <c r="K51" s="215">
        <f t="shared" si="51"/>
        <v>313</v>
      </c>
      <c r="L51" s="215">
        <f t="shared" si="51"/>
        <v>12</v>
      </c>
      <c r="M51" s="215">
        <f t="shared" si="51"/>
        <v>-231</v>
      </c>
      <c r="N51" s="215">
        <f t="shared" si="51"/>
        <v>0</v>
      </c>
      <c r="O51" s="215">
        <f t="shared" si="51"/>
        <v>9</v>
      </c>
      <c r="P51" s="215">
        <f t="shared" si="51"/>
        <v>5</v>
      </c>
      <c r="Q51" s="215">
        <f t="shared" si="51"/>
        <v>6</v>
      </c>
      <c r="R51" s="215">
        <f t="shared" si="51"/>
        <v>1776</v>
      </c>
      <c r="S51" s="215">
        <f t="shared" ref="S51" si="52">S18-S49</f>
        <v>0</v>
      </c>
      <c r="T51" s="215">
        <f t="shared" si="51"/>
        <v>222</v>
      </c>
      <c r="U51" s="215">
        <f>U18-U49</f>
        <v>0</v>
      </c>
      <c r="V51" s="215">
        <f t="shared" si="51"/>
        <v>-134</v>
      </c>
      <c r="W51" s="215">
        <f t="shared" ref="W51" si="53">W18-W49</f>
        <v>1505</v>
      </c>
      <c r="X51" s="215">
        <f t="shared" si="51"/>
        <v>-644.13</v>
      </c>
      <c r="Y51" s="215">
        <f t="shared" ref="Y51" si="54">Y18-Y49</f>
        <v>13</v>
      </c>
      <c r="Z51" s="215">
        <f t="shared" si="51"/>
        <v>-399</v>
      </c>
      <c r="AA51" s="215">
        <f>AA18-AA49</f>
        <v>0</v>
      </c>
      <c r="AB51" s="215">
        <f t="shared" si="51"/>
        <v>-230</v>
      </c>
      <c r="AC51" s="215">
        <f t="shared" ref="AC51:AP51" si="55">AC18-AC49</f>
        <v>12311</v>
      </c>
      <c r="AD51" s="215">
        <f>AD18-AD49</f>
        <v>-236</v>
      </c>
      <c r="AE51" s="215">
        <f t="shared" si="55"/>
        <v>-2584</v>
      </c>
      <c r="AF51" s="215">
        <f t="shared" si="55"/>
        <v>-616</v>
      </c>
      <c r="AG51" s="215">
        <f t="shared" si="55"/>
        <v>-72</v>
      </c>
      <c r="AH51" s="215">
        <f t="shared" si="55"/>
        <v>34</v>
      </c>
      <c r="AI51" s="215">
        <f t="shared" ref="AI51" si="56">AI18-AI49</f>
        <v>0</v>
      </c>
      <c r="AJ51" s="215">
        <f t="shared" si="55"/>
        <v>0</v>
      </c>
      <c r="AK51" s="215">
        <f t="shared" si="55"/>
        <v>0</v>
      </c>
      <c r="AL51" s="215">
        <f t="shared" si="55"/>
        <v>0</v>
      </c>
      <c r="AM51" s="215">
        <f t="shared" ref="AM51" si="57">AM18-AM49</f>
        <v>0</v>
      </c>
      <c r="AN51" s="215">
        <f t="shared" si="55"/>
        <v>0</v>
      </c>
      <c r="AO51" s="215">
        <f t="shared" ref="AO51" si="58">AO18-AO49</f>
        <v>0</v>
      </c>
      <c r="AP51" s="215">
        <f t="shared" si="55"/>
        <v>0</v>
      </c>
    </row>
    <row r="52" spans="1:42" ht="13" customHeight="1">
      <c r="C52" s="194"/>
      <c r="D52" s="19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row>
    <row r="53" spans="1:42" ht="13" customHeight="1">
      <c r="B53" s="168" t="s">
        <v>57</v>
      </c>
      <c r="C53" s="194"/>
      <c r="D53" s="194"/>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row>
    <row r="54" spans="1:42">
      <c r="A54" s="192">
        <v>27</v>
      </c>
      <c r="B54" s="194" t="s">
        <v>58</v>
      </c>
      <c r="D54" s="194"/>
      <c r="E54" s="215">
        <f>'ADJ DETAIL INPUT'!E53</f>
        <v>-6651</v>
      </c>
      <c r="F54" s="215">
        <f>'ADJ DETAIL INPUT'!F53</f>
        <v>0</v>
      </c>
      <c r="G54" s="215">
        <f>'ADJ DETAIL INPUT'!G53</f>
        <v>-0.35</v>
      </c>
      <c r="H54" s="215">
        <f>'ADJ DETAIL INPUT'!H53</f>
        <v>0</v>
      </c>
      <c r="I54" s="215">
        <f>'ADJ DETAIL INPUT'!I53</f>
        <v>-4.8999999999999995</v>
      </c>
      <c r="J54" s="215">
        <f>'ADJ DETAIL INPUT'!J53</f>
        <v>122.85</v>
      </c>
      <c r="K54" s="215">
        <f>'ADJ DETAIL INPUT'!K53</f>
        <v>109.55</v>
      </c>
      <c r="L54" s="215">
        <f>'ADJ DETAIL INPUT'!L53</f>
        <v>4.1999999999999993</v>
      </c>
      <c r="M54" s="215">
        <f>'ADJ DETAIL INPUT'!M53</f>
        <v>-80.849999999999994</v>
      </c>
      <c r="N54" s="215">
        <f>'ADJ DETAIL INPUT'!N53</f>
        <v>-223</v>
      </c>
      <c r="O54" s="215">
        <f>'ADJ DETAIL INPUT'!O53</f>
        <v>3.15</v>
      </c>
      <c r="P54" s="215">
        <f>'ADJ DETAIL INPUT'!P53</f>
        <v>1.75</v>
      </c>
      <c r="Q54" s="215">
        <f>'ADJ DETAIL INPUT'!Q53</f>
        <v>2.0999999999999996</v>
      </c>
      <c r="R54" s="215">
        <f>'ADJ DETAIL INPUT'!R53</f>
        <v>621.59999999999991</v>
      </c>
      <c r="S54" s="215">
        <f>'ADJ DETAIL INPUT'!S53</f>
        <v>0</v>
      </c>
      <c r="T54" s="215">
        <f>'ADJ DETAIL INPUT'!T53</f>
        <v>77.699999999999989</v>
      </c>
      <c r="U54" s="215">
        <f>'ADJ DETAIL INPUT'!U53</f>
        <v>-85</v>
      </c>
      <c r="V54" s="215">
        <f>'ADJ DETAIL INPUT'!V53</f>
        <v>-46.9</v>
      </c>
      <c r="W54" s="215">
        <f>'ADJ DETAIL INPUT'!W53</f>
        <v>526.75</v>
      </c>
      <c r="X54" s="215">
        <f>'ADJ DETAIL INPUT'!Y53</f>
        <v>-225.44549999999998</v>
      </c>
      <c r="Y54" s="215">
        <f>'ADJ DETAIL INPUT'!Z53</f>
        <v>4.55</v>
      </c>
      <c r="Z54" s="215">
        <f>'ADJ DETAIL INPUT'!AA53</f>
        <v>-139.64999999999998</v>
      </c>
      <c r="AA54" s="215">
        <f>'ADJ DETAIL INPUT'!AB53</f>
        <v>0</v>
      </c>
      <c r="AB54" s="215">
        <f>'ADJ DETAIL INPUT'!AC53</f>
        <v>-80.5</v>
      </c>
      <c r="AC54" s="215">
        <f>'ADJ DETAIL INPUT'!AD53</f>
        <v>4308.8499999999995</v>
      </c>
      <c r="AD54" s="215">
        <f>'ADJ DETAIL INPUT'!AE53</f>
        <v>-82.6</v>
      </c>
      <c r="AE54" s="215">
        <f>'ADJ DETAIL INPUT'!AF53</f>
        <v>-904.4</v>
      </c>
      <c r="AF54" s="215">
        <f>'ADJ DETAIL INPUT'!AG53</f>
        <v>-215.6</v>
      </c>
      <c r="AG54" s="215">
        <f>'ADJ DETAIL INPUT'!AH53</f>
        <v>-25.2</v>
      </c>
      <c r="AH54" s="215">
        <f>'ADJ DETAIL INPUT'!AI53</f>
        <v>11.899999999999999</v>
      </c>
      <c r="AI54" s="215">
        <f>'ADJ DETAIL INPUT'!AL53</f>
        <v>0</v>
      </c>
      <c r="AJ54" s="215">
        <f>'ADJ DETAIL INPUT'!AM53</f>
        <v>0</v>
      </c>
      <c r="AK54" s="215">
        <f>'ADJ DETAIL INPUT'!AN53</f>
        <v>0</v>
      </c>
      <c r="AL54" s="215">
        <f>'ADJ DETAIL INPUT'!AO53</f>
        <v>0</v>
      </c>
      <c r="AM54" s="215">
        <f>'ADJ DETAIL INPUT'!AP53</f>
        <v>0</v>
      </c>
      <c r="AN54" s="215">
        <f>'ADJ DETAIL INPUT'!AQ53</f>
        <v>0</v>
      </c>
      <c r="AO54" s="215">
        <f>'ADJ DETAIL INPUT'!AR53</f>
        <v>0</v>
      </c>
      <c r="AP54" s="215">
        <f>'ADJ DETAIL INPUT'!AT53</f>
        <v>0</v>
      </c>
    </row>
    <row r="55" spans="1:42">
      <c r="A55" s="192">
        <v>28</v>
      </c>
      <c r="B55" s="194" t="s">
        <v>189</v>
      </c>
      <c r="D55" s="194"/>
      <c r="E55" s="215">
        <f>'ADJ DETAIL INPUT'!E54</f>
        <v>0</v>
      </c>
      <c r="F55" s="215">
        <f>'ADJ DETAIL INPUT'!F54</f>
        <v>-0.49679182</v>
      </c>
      <c r="G55" s="215">
        <f>'ADJ DETAIL INPUT'!G54</f>
        <v>0</v>
      </c>
      <c r="H55" s="215">
        <f>'ADJ DETAIL INPUT'!H54</f>
        <v>-28.098545339199998</v>
      </c>
      <c r="I55" s="215">
        <f>'ADJ DETAIL INPUT'!I54</f>
        <v>0</v>
      </c>
      <c r="J55" s="215">
        <f>'ADJ DETAIL INPUT'!J54</f>
        <v>0</v>
      </c>
      <c r="K55" s="215">
        <f>'ADJ DETAIL INPUT'!K54</f>
        <v>0</v>
      </c>
      <c r="L55" s="215">
        <f>'ADJ DETAIL INPUT'!L54</f>
        <v>0</v>
      </c>
      <c r="M55" s="215">
        <f>'ADJ DETAIL INPUT'!M54</f>
        <v>0</v>
      </c>
      <c r="N55" s="215">
        <f>'ADJ DETAIL INPUT'!N54</f>
        <v>0</v>
      </c>
      <c r="O55" s="215">
        <f>'ADJ DETAIL INPUT'!O54</f>
        <v>0</v>
      </c>
      <c r="P55" s="215">
        <f>'ADJ DETAIL INPUT'!P54</f>
        <v>0</v>
      </c>
      <c r="Q55" s="215">
        <f>'ADJ DETAIL INPUT'!Q54</f>
        <v>0</v>
      </c>
      <c r="R55" s="215">
        <f>'ADJ DETAIL INPUT'!R54</f>
        <v>0</v>
      </c>
      <c r="S55" s="215">
        <f>'ADJ DETAIL INPUT'!S54</f>
        <v>0</v>
      </c>
      <c r="T55" s="215">
        <f>'ADJ DETAIL INPUT'!T54</f>
        <v>0</v>
      </c>
      <c r="U55" s="215">
        <f>'ADJ DETAIL INPUT'!U54</f>
        <v>0</v>
      </c>
      <c r="V55" s="215">
        <f>'ADJ DETAIL INPUT'!V54</f>
        <v>0</v>
      </c>
      <c r="W55" s="215">
        <f>'ADJ DETAIL INPUT'!W54</f>
        <v>0</v>
      </c>
      <c r="X55" s="215">
        <f>'ADJ DETAIL INPUT'!Y54</f>
        <v>0</v>
      </c>
      <c r="Y55" s="215">
        <f>'ADJ DETAIL INPUT'!Z54</f>
        <v>0</v>
      </c>
      <c r="Z55" s="215">
        <f>'ADJ DETAIL INPUT'!AA54</f>
        <v>0</v>
      </c>
      <c r="AA55" s="215">
        <f>'ADJ DETAIL INPUT'!AB54</f>
        <v>0</v>
      </c>
      <c r="AB55" s="215">
        <f>'ADJ DETAIL INPUT'!AC54</f>
        <v>0</v>
      </c>
      <c r="AC55" s="215">
        <f>'ADJ DETAIL INPUT'!AD54</f>
        <v>0</v>
      </c>
      <c r="AD55" s="215">
        <f>'ADJ DETAIL INPUT'!AE54</f>
        <v>0</v>
      </c>
      <c r="AE55" s="215">
        <f>'ADJ DETAIL INPUT'!AF54</f>
        <v>0</v>
      </c>
      <c r="AF55" s="215">
        <f>'ADJ DETAIL INPUT'!AG54</f>
        <v>-95.781462896000008</v>
      </c>
      <c r="AG55" s="215">
        <f>'ADJ DETAIL INPUT'!AH54</f>
        <v>-74.399542963199991</v>
      </c>
      <c r="AH55" s="215">
        <f>'ADJ DETAIL INPUT'!AI54</f>
        <v>0</v>
      </c>
      <c r="AI55" s="215">
        <f>'ADJ DETAIL INPUT'!AL54</f>
        <v>0</v>
      </c>
      <c r="AJ55" s="215">
        <f>'ADJ DETAIL INPUT'!AM54</f>
        <v>0</v>
      </c>
      <c r="AK55" s="215">
        <f>'ADJ DETAIL INPUT'!AN54</f>
        <v>0</v>
      </c>
      <c r="AL55" s="215">
        <f>'ADJ DETAIL INPUT'!AO54</f>
        <v>0</v>
      </c>
      <c r="AM55" s="215">
        <f>'ADJ DETAIL INPUT'!AP54</f>
        <v>0</v>
      </c>
      <c r="AN55" s="215">
        <f>'ADJ DETAIL INPUT'!AQ54</f>
        <v>0</v>
      </c>
      <c r="AO55" s="215">
        <f>'ADJ DETAIL INPUT'!AR54</f>
        <v>0</v>
      </c>
      <c r="AP55" s="215">
        <f>'ADJ DETAIL INPUT'!AT54</f>
        <v>0</v>
      </c>
    </row>
    <row r="56" spans="1:42">
      <c r="A56" s="192">
        <v>29</v>
      </c>
      <c r="B56" s="194" t="s">
        <v>59</v>
      </c>
      <c r="D56" s="194"/>
      <c r="E56" s="215">
        <f>'ADJ DETAIL INPUT'!E55</f>
        <v>12388</v>
      </c>
      <c r="F56" s="215">
        <f>'ADJ DETAIL INPUT'!F55</f>
        <v>0</v>
      </c>
      <c r="G56" s="215">
        <f>'ADJ DETAIL INPUT'!G55</f>
        <v>0</v>
      </c>
      <c r="H56" s="215">
        <f>'ADJ DETAIL INPUT'!H55</f>
        <v>0</v>
      </c>
      <c r="I56" s="215">
        <f>'ADJ DETAIL INPUT'!I55</f>
        <v>0</v>
      </c>
      <c r="J56" s="215">
        <f>'ADJ DETAIL INPUT'!J55</f>
        <v>0</v>
      </c>
      <c r="K56" s="215">
        <f>'ADJ DETAIL INPUT'!K55</f>
        <v>0</v>
      </c>
      <c r="L56" s="215">
        <f>'ADJ DETAIL INPUT'!L55</f>
        <v>0</v>
      </c>
      <c r="M56" s="215">
        <f>'ADJ DETAIL INPUT'!M55</f>
        <v>0</v>
      </c>
      <c r="N56" s="215">
        <f>'ADJ DETAIL INPUT'!N55</f>
        <v>0</v>
      </c>
      <c r="O56" s="215">
        <f>'ADJ DETAIL INPUT'!O55</f>
        <v>0</v>
      </c>
      <c r="P56" s="215">
        <f>'ADJ DETAIL INPUT'!P55</f>
        <v>0</v>
      </c>
      <c r="Q56" s="215">
        <f>'ADJ DETAIL INPUT'!Q55</f>
        <v>0</v>
      </c>
      <c r="R56" s="215">
        <f>'ADJ DETAIL INPUT'!R55</f>
        <v>0</v>
      </c>
      <c r="S56" s="215">
        <f>'ADJ DETAIL INPUT'!S55</f>
        <v>0</v>
      </c>
      <c r="T56" s="215">
        <f>'ADJ DETAIL INPUT'!T55</f>
        <v>0</v>
      </c>
      <c r="U56" s="215">
        <f>'ADJ DETAIL INPUT'!U55</f>
        <v>0</v>
      </c>
      <c r="V56" s="215">
        <f>'ADJ DETAIL INPUT'!V55</f>
        <v>0</v>
      </c>
      <c r="W56" s="215">
        <f>'ADJ DETAIL INPUT'!W55</f>
        <v>0</v>
      </c>
      <c r="X56" s="215">
        <f>'ADJ DETAIL INPUT'!Y55</f>
        <v>0</v>
      </c>
      <c r="Y56" s="215">
        <f>'ADJ DETAIL INPUT'!Z55</f>
        <v>0</v>
      </c>
      <c r="Z56" s="215">
        <f>'ADJ DETAIL INPUT'!AA55</f>
        <v>0</v>
      </c>
      <c r="AA56" s="215">
        <f>'ADJ DETAIL INPUT'!AB55</f>
        <v>0</v>
      </c>
      <c r="AB56" s="215">
        <f>'ADJ DETAIL INPUT'!AC55</f>
        <v>0</v>
      </c>
      <c r="AC56" s="215">
        <f>'ADJ DETAIL INPUT'!AD55</f>
        <v>0</v>
      </c>
      <c r="AD56" s="215">
        <f>'ADJ DETAIL INPUT'!AE55</f>
        <v>0</v>
      </c>
      <c r="AE56" s="215">
        <f>'ADJ DETAIL INPUT'!AF55</f>
        <v>0</v>
      </c>
      <c r="AF56" s="215">
        <f>'ADJ DETAIL INPUT'!AG55</f>
        <v>0</v>
      </c>
      <c r="AG56" s="215">
        <f>'ADJ DETAIL INPUT'!AH55</f>
        <v>0</v>
      </c>
      <c r="AH56" s="215">
        <f>'ADJ DETAIL INPUT'!AI55</f>
        <v>0</v>
      </c>
      <c r="AI56" s="215">
        <f>'ADJ DETAIL INPUT'!AL55</f>
        <v>0</v>
      </c>
      <c r="AJ56" s="215">
        <f>'ADJ DETAIL INPUT'!AM55</f>
        <v>0</v>
      </c>
      <c r="AK56" s="215">
        <f>'ADJ DETAIL INPUT'!AN55</f>
        <v>0</v>
      </c>
      <c r="AL56" s="215">
        <f>'ADJ DETAIL INPUT'!AO55</f>
        <v>0</v>
      </c>
      <c r="AM56" s="215">
        <f>'ADJ DETAIL INPUT'!AP55</f>
        <v>0</v>
      </c>
      <c r="AN56" s="215">
        <f>'ADJ DETAIL INPUT'!AQ55</f>
        <v>0</v>
      </c>
      <c r="AO56" s="215">
        <f>'ADJ DETAIL INPUT'!AR55</f>
        <v>0</v>
      </c>
      <c r="AP56" s="215">
        <f>'ADJ DETAIL INPUT'!AT55</f>
        <v>0</v>
      </c>
    </row>
    <row r="57" spans="1:42">
      <c r="A57" s="192">
        <v>30</v>
      </c>
      <c r="B57" s="194" t="s">
        <v>60</v>
      </c>
      <c r="D57" s="194"/>
      <c r="E57" s="216">
        <f>'ADJ DETAIL INPUT'!E56</f>
        <v>-20</v>
      </c>
      <c r="F57" s="216">
        <f>'ADJ DETAIL INPUT'!F56</f>
        <v>0</v>
      </c>
      <c r="G57" s="216">
        <f>'ADJ DETAIL INPUT'!G56</f>
        <v>0</v>
      </c>
      <c r="H57" s="216">
        <f>'ADJ DETAIL INPUT'!H56</f>
        <v>0</v>
      </c>
      <c r="I57" s="216">
        <f>'ADJ DETAIL INPUT'!I56</f>
        <v>0</v>
      </c>
      <c r="J57" s="216">
        <f>'ADJ DETAIL INPUT'!J56</f>
        <v>0</v>
      </c>
      <c r="K57" s="216">
        <f>'ADJ DETAIL INPUT'!K56</f>
        <v>0</v>
      </c>
      <c r="L57" s="216">
        <f>'ADJ DETAIL INPUT'!L56</f>
        <v>0</v>
      </c>
      <c r="M57" s="216">
        <f>'ADJ DETAIL INPUT'!M56</f>
        <v>0</v>
      </c>
      <c r="N57" s="216">
        <f>'ADJ DETAIL INPUT'!N56</f>
        <v>0</v>
      </c>
      <c r="O57" s="216">
        <f>'ADJ DETAIL INPUT'!O56</f>
        <v>0</v>
      </c>
      <c r="P57" s="216">
        <f>'ADJ DETAIL INPUT'!P56</f>
        <v>0</v>
      </c>
      <c r="Q57" s="216">
        <f>'ADJ DETAIL INPUT'!Q56</f>
        <v>0</v>
      </c>
      <c r="R57" s="216">
        <f>'ADJ DETAIL INPUT'!R56</f>
        <v>0</v>
      </c>
      <c r="S57" s="216">
        <f>'ADJ DETAIL INPUT'!S56</f>
        <v>0</v>
      </c>
      <c r="T57" s="216">
        <f>'ADJ DETAIL INPUT'!T56</f>
        <v>0</v>
      </c>
      <c r="U57" s="216">
        <f>'ADJ DETAIL INPUT'!U56</f>
        <v>0</v>
      </c>
      <c r="V57" s="216">
        <f>'ADJ DETAIL INPUT'!V56</f>
        <v>0</v>
      </c>
      <c r="W57" s="216">
        <f>'ADJ DETAIL INPUT'!W56</f>
        <v>0</v>
      </c>
      <c r="X57" s="216">
        <f>'ADJ DETAIL INPUT'!Y56</f>
        <v>0</v>
      </c>
      <c r="Y57" s="216">
        <f>'ADJ DETAIL INPUT'!Z56</f>
        <v>0</v>
      </c>
      <c r="Z57" s="216">
        <f>'ADJ DETAIL INPUT'!AA56</f>
        <v>0</v>
      </c>
      <c r="AA57" s="216">
        <f>'ADJ DETAIL INPUT'!AB56</f>
        <v>0</v>
      </c>
      <c r="AB57" s="216">
        <f>'ADJ DETAIL INPUT'!AC56</f>
        <v>0</v>
      </c>
      <c r="AC57" s="216">
        <f>'ADJ DETAIL INPUT'!AD56</f>
        <v>0</v>
      </c>
      <c r="AD57" s="216">
        <f>'ADJ DETAIL INPUT'!AE56</f>
        <v>0</v>
      </c>
      <c r="AE57" s="216">
        <f>'ADJ DETAIL INPUT'!AF56</f>
        <v>0</v>
      </c>
      <c r="AF57" s="216">
        <f>'ADJ DETAIL INPUT'!AG56</f>
        <v>0</v>
      </c>
      <c r="AG57" s="216">
        <f>'ADJ DETAIL INPUT'!AH56</f>
        <v>0</v>
      </c>
      <c r="AH57" s="216">
        <f>'ADJ DETAIL INPUT'!AI56</f>
        <v>0</v>
      </c>
      <c r="AI57" s="216">
        <f>'ADJ DETAIL INPUT'!AL56</f>
        <v>0</v>
      </c>
      <c r="AJ57" s="216">
        <f>'ADJ DETAIL INPUT'!AM56</f>
        <v>0</v>
      </c>
      <c r="AK57" s="216">
        <f>'ADJ DETAIL INPUT'!AN56</f>
        <v>0</v>
      </c>
      <c r="AL57" s="216">
        <f>'ADJ DETAIL INPUT'!AO56</f>
        <v>0</v>
      </c>
      <c r="AM57" s="216">
        <f>'ADJ DETAIL INPUT'!AP56</f>
        <v>0</v>
      </c>
      <c r="AN57" s="216">
        <f>'ADJ DETAIL INPUT'!AQ56</f>
        <v>0</v>
      </c>
      <c r="AO57" s="216">
        <f>'ADJ DETAIL INPUT'!AR56</f>
        <v>0</v>
      </c>
      <c r="AP57" s="216">
        <f>'ADJ DETAIL INPUT'!AT56</f>
        <v>0</v>
      </c>
    </row>
    <row r="58" spans="1:42">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row>
    <row r="59" spans="1:42" s="193" customFormat="1" ht="12" thickBot="1">
      <c r="A59" s="192">
        <v>31</v>
      </c>
      <c r="B59" s="193" t="s">
        <v>61</v>
      </c>
      <c r="E59" s="322">
        <f>E51-SUM(E54:E57)</f>
        <v>14549</v>
      </c>
      <c r="F59" s="322">
        <f t="shared" ref="F59:AB59" si="59">F51-SUM(F54:F57)</f>
        <v>0.49679182</v>
      </c>
      <c r="G59" s="322">
        <f t="shared" si="59"/>
        <v>-0.65</v>
      </c>
      <c r="H59" s="322">
        <f t="shared" si="59"/>
        <v>28.098545339199998</v>
      </c>
      <c r="I59" s="322">
        <f t="shared" si="59"/>
        <v>-9.1000000000000014</v>
      </c>
      <c r="J59" s="322">
        <f t="shared" si="59"/>
        <v>228.15</v>
      </c>
      <c r="K59" s="322">
        <f t="shared" si="59"/>
        <v>203.45</v>
      </c>
      <c r="L59" s="322">
        <f t="shared" si="59"/>
        <v>7.8000000000000007</v>
      </c>
      <c r="M59" s="322">
        <f t="shared" si="59"/>
        <v>-150.15</v>
      </c>
      <c r="N59" s="322">
        <f t="shared" si="59"/>
        <v>223</v>
      </c>
      <c r="O59" s="322">
        <f t="shared" si="59"/>
        <v>5.85</v>
      </c>
      <c r="P59" s="322">
        <f t="shared" si="59"/>
        <v>3.25</v>
      </c>
      <c r="Q59" s="322">
        <f t="shared" si="59"/>
        <v>3.9000000000000004</v>
      </c>
      <c r="R59" s="322">
        <f t="shared" si="59"/>
        <v>1154.4000000000001</v>
      </c>
      <c r="S59" s="322">
        <f t="shared" ref="S59" si="60">S51-SUM(S54:S57)</f>
        <v>0</v>
      </c>
      <c r="T59" s="322">
        <f t="shared" si="59"/>
        <v>144.30000000000001</v>
      </c>
      <c r="U59" s="322">
        <f>U51-SUM(U54:U57)</f>
        <v>85</v>
      </c>
      <c r="V59" s="322">
        <f t="shared" si="59"/>
        <v>-87.1</v>
      </c>
      <c r="W59" s="322">
        <f t="shared" ref="W59" si="61">W51-SUM(W54:W57)</f>
        <v>978.25</v>
      </c>
      <c r="X59" s="322">
        <f t="shared" si="59"/>
        <v>-418.68450000000001</v>
      </c>
      <c r="Y59" s="322">
        <f t="shared" ref="Y59" si="62">Y51-SUM(Y54:Y57)</f>
        <v>8.4499999999999993</v>
      </c>
      <c r="Z59" s="322">
        <f t="shared" si="59"/>
        <v>-259.35000000000002</v>
      </c>
      <c r="AA59" s="322">
        <f>AA51-SUM(AA54:AA57)</f>
        <v>0</v>
      </c>
      <c r="AB59" s="322">
        <f t="shared" si="59"/>
        <v>-149.5</v>
      </c>
      <c r="AC59" s="322">
        <f t="shared" ref="AC59:AP59" si="63">AC51-SUM(AC54:AC57)</f>
        <v>8002.1500000000005</v>
      </c>
      <c r="AD59" s="322">
        <f>AD51-SUM(AD54:AD57)</f>
        <v>-153.4</v>
      </c>
      <c r="AE59" s="322">
        <f t="shared" si="63"/>
        <v>-1679.6</v>
      </c>
      <c r="AF59" s="322">
        <f t="shared" si="63"/>
        <v>-304.61853710399998</v>
      </c>
      <c r="AG59" s="322">
        <f t="shared" si="63"/>
        <v>27.599542963199994</v>
      </c>
      <c r="AH59" s="322">
        <f t="shared" si="63"/>
        <v>22.1</v>
      </c>
      <c r="AI59" s="322">
        <f t="shared" ref="AI59" si="64">AI51-SUM(AI54:AI57)</f>
        <v>0</v>
      </c>
      <c r="AJ59" s="322">
        <f t="shared" si="63"/>
        <v>0</v>
      </c>
      <c r="AK59" s="322">
        <f t="shared" si="63"/>
        <v>0</v>
      </c>
      <c r="AL59" s="322">
        <f t="shared" si="63"/>
        <v>0</v>
      </c>
      <c r="AM59" s="322">
        <f t="shared" ref="AM59" si="65">AM51-SUM(AM54:AM57)</f>
        <v>0</v>
      </c>
      <c r="AN59" s="322">
        <f t="shared" si="63"/>
        <v>0</v>
      </c>
      <c r="AO59" s="322">
        <f t="shared" ref="AO59" si="66">AO51-SUM(AO54:AO57)</f>
        <v>0</v>
      </c>
      <c r="AP59" s="322">
        <f t="shared" si="63"/>
        <v>0</v>
      </c>
    </row>
    <row r="60" spans="1:42" ht="12" thickTop="1">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row>
    <row r="61" spans="1:42">
      <c r="B61" s="168" t="s">
        <v>106</v>
      </c>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row>
    <row r="62" spans="1:42">
      <c r="B62" s="168" t="s">
        <v>107</v>
      </c>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row>
    <row r="63" spans="1:42">
      <c r="A63" s="192">
        <v>32</v>
      </c>
      <c r="B63" s="194"/>
      <c r="C63" s="194" t="s">
        <v>44</v>
      </c>
      <c r="D63" s="194"/>
      <c r="E63" s="278">
        <f>'ADJ DETAIL INPUT'!E62</f>
        <v>25622</v>
      </c>
      <c r="F63" s="278">
        <f>'ADJ DETAIL INPUT'!F62</f>
        <v>0</v>
      </c>
      <c r="G63" s="278">
        <f>'ADJ DETAIL INPUT'!G62</f>
        <v>0</v>
      </c>
      <c r="H63" s="278">
        <f>'ADJ DETAIL INPUT'!H62</f>
        <v>0</v>
      </c>
      <c r="I63" s="278">
        <f>'ADJ DETAIL INPUT'!I62</f>
        <v>0</v>
      </c>
      <c r="J63" s="278">
        <f>'ADJ DETAIL INPUT'!J62</f>
        <v>0</v>
      </c>
      <c r="K63" s="278">
        <f>'ADJ DETAIL INPUT'!K62</f>
        <v>0</v>
      </c>
      <c r="L63" s="278">
        <f>'ADJ DETAIL INPUT'!L62</f>
        <v>0</v>
      </c>
      <c r="M63" s="278">
        <f>'ADJ DETAIL INPUT'!M62</f>
        <v>0</v>
      </c>
      <c r="N63" s="278">
        <f>'ADJ DETAIL INPUT'!N62</f>
        <v>0</v>
      </c>
      <c r="O63" s="278">
        <f>'ADJ DETAIL INPUT'!O62</f>
        <v>0</v>
      </c>
      <c r="P63" s="278">
        <f>'ADJ DETAIL INPUT'!P62</f>
        <v>0</v>
      </c>
      <c r="Q63" s="278">
        <f>'ADJ DETAIL INPUT'!Q62</f>
        <v>0</v>
      </c>
      <c r="R63" s="278">
        <f>'ADJ DETAIL INPUT'!R62</f>
        <v>0</v>
      </c>
      <c r="S63" s="278">
        <f>'ADJ DETAIL INPUT'!S62</f>
        <v>0</v>
      </c>
      <c r="T63" s="278">
        <f>'ADJ DETAIL INPUT'!T62</f>
        <v>0</v>
      </c>
      <c r="U63" s="278">
        <f>'ADJ DETAIL INPUT'!U62</f>
        <v>0</v>
      </c>
      <c r="V63" s="278">
        <f>'ADJ DETAIL INPUT'!V62</f>
        <v>0</v>
      </c>
      <c r="W63" s="278">
        <f>'ADJ DETAIL INPUT'!W62</f>
        <v>0</v>
      </c>
      <c r="X63" s="278">
        <f>'ADJ DETAIL INPUT'!Y62</f>
        <v>0</v>
      </c>
      <c r="Y63" s="278">
        <f>'ADJ DETAIL INPUT'!Z62</f>
        <v>0</v>
      </c>
      <c r="Z63" s="278">
        <f>'ADJ DETAIL INPUT'!AA62</f>
        <v>0</v>
      </c>
      <c r="AA63" s="278">
        <f>'ADJ DETAIL INPUT'!AB62</f>
        <v>0</v>
      </c>
      <c r="AB63" s="278">
        <f>'ADJ DETAIL INPUT'!AC62</f>
        <v>0</v>
      </c>
      <c r="AC63" s="278">
        <f>'ADJ DETAIL INPUT'!AD62</f>
        <v>0</v>
      </c>
      <c r="AD63" s="278">
        <f>'ADJ DETAIL INPUT'!AE62</f>
        <v>0</v>
      </c>
      <c r="AE63" s="278">
        <f>'ADJ DETAIL INPUT'!AF62</f>
        <v>0</v>
      </c>
      <c r="AF63" s="278">
        <f>'ADJ DETAIL INPUT'!AG62</f>
        <v>98</v>
      </c>
      <c r="AG63" s="278">
        <f>'ADJ DETAIL INPUT'!AH62</f>
        <v>0</v>
      </c>
      <c r="AH63" s="278">
        <f>'ADJ DETAIL INPUT'!AI62</f>
        <v>0</v>
      </c>
      <c r="AI63" s="278">
        <f>'ADJ DETAIL INPUT'!AL62</f>
        <v>0</v>
      </c>
      <c r="AJ63" s="278">
        <f>'ADJ DETAIL INPUT'!AM62</f>
        <v>0</v>
      </c>
      <c r="AK63" s="278">
        <f>'ADJ DETAIL INPUT'!AN62</f>
        <v>0</v>
      </c>
      <c r="AL63" s="278">
        <f>'ADJ DETAIL INPUT'!AO62</f>
        <v>0</v>
      </c>
      <c r="AM63" s="278">
        <f>'ADJ DETAIL INPUT'!AP62</f>
        <v>0</v>
      </c>
      <c r="AN63" s="278">
        <f>'ADJ DETAIL INPUT'!AQ62</f>
        <v>0</v>
      </c>
      <c r="AO63" s="278">
        <f>'ADJ DETAIL INPUT'!AR62</f>
        <v>0</v>
      </c>
      <c r="AP63" s="278">
        <f>'ADJ DETAIL INPUT'!AT62</f>
        <v>0</v>
      </c>
    </row>
    <row r="64" spans="1:42">
      <c r="A64" s="192">
        <v>33</v>
      </c>
      <c r="B64" s="194"/>
      <c r="C64" s="194" t="s">
        <v>63</v>
      </c>
      <c r="D64" s="194"/>
      <c r="E64" s="215">
        <f>'ADJ DETAIL INPUT'!E63</f>
        <v>354360</v>
      </c>
      <c r="F64" s="215">
        <f>'ADJ DETAIL INPUT'!F63</f>
        <v>0</v>
      </c>
      <c r="G64" s="215">
        <f>'ADJ DETAIL INPUT'!G63</f>
        <v>0</v>
      </c>
      <c r="H64" s="215">
        <f>'ADJ DETAIL INPUT'!H63</f>
        <v>0</v>
      </c>
      <c r="I64" s="215">
        <f>'ADJ DETAIL INPUT'!I63</f>
        <v>0</v>
      </c>
      <c r="J64" s="215">
        <f>'ADJ DETAIL INPUT'!J63</f>
        <v>0</v>
      </c>
      <c r="K64" s="215">
        <f>'ADJ DETAIL INPUT'!K63</f>
        <v>0</v>
      </c>
      <c r="L64" s="215">
        <f>'ADJ DETAIL INPUT'!L63</f>
        <v>0</v>
      </c>
      <c r="M64" s="215">
        <f>'ADJ DETAIL INPUT'!M63</f>
        <v>0</v>
      </c>
      <c r="N64" s="215">
        <f>'ADJ DETAIL INPUT'!N63</f>
        <v>0</v>
      </c>
      <c r="O64" s="215">
        <f>'ADJ DETAIL INPUT'!O63</f>
        <v>0</v>
      </c>
      <c r="P64" s="215">
        <f>'ADJ DETAIL INPUT'!P63</f>
        <v>0</v>
      </c>
      <c r="Q64" s="215">
        <f>'ADJ DETAIL INPUT'!Q63</f>
        <v>0</v>
      </c>
      <c r="R64" s="215">
        <f>'ADJ DETAIL INPUT'!R63</f>
        <v>0</v>
      </c>
      <c r="S64" s="215">
        <f>'ADJ DETAIL INPUT'!S63</f>
        <v>0</v>
      </c>
      <c r="T64" s="215">
        <f>'ADJ DETAIL INPUT'!T63</f>
        <v>0</v>
      </c>
      <c r="U64" s="215">
        <f>'ADJ DETAIL INPUT'!U63</f>
        <v>0</v>
      </c>
      <c r="V64" s="215">
        <f>'ADJ DETAIL INPUT'!V63</f>
        <v>0</v>
      </c>
      <c r="W64" s="215">
        <f>'ADJ DETAIL INPUT'!W63</f>
        <v>0</v>
      </c>
      <c r="X64" s="215">
        <f>'ADJ DETAIL INPUT'!Y63</f>
        <v>0</v>
      </c>
      <c r="Y64" s="215">
        <f>'ADJ DETAIL INPUT'!Z63</f>
        <v>0</v>
      </c>
      <c r="Z64" s="215">
        <f>'ADJ DETAIL INPUT'!AA63</f>
        <v>0</v>
      </c>
      <c r="AA64" s="215">
        <f>'ADJ DETAIL INPUT'!AB63</f>
        <v>0</v>
      </c>
      <c r="AB64" s="215">
        <f>'ADJ DETAIL INPUT'!AC63</f>
        <v>0</v>
      </c>
      <c r="AC64" s="215">
        <f>'ADJ DETAIL INPUT'!AD63</f>
        <v>0</v>
      </c>
      <c r="AD64" s="215">
        <f>'ADJ DETAIL INPUT'!AE63</f>
        <v>0</v>
      </c>
      <c r="AE64" s="215">
        <f>'ADJ DETAIL INPUT'!AF63</f>
        <v>0</v>
      </c>
      <c r="AF64" s="215">
        <f>'ADJ DETAIL INPUT'!AG63</f>
        <v>6252</v>
      </c>
      <c r="AG64" s="215">
        <f>'ADJ DETAIL INPUT'!AH63</f>
        <v>7155</v>
      </c>
      <c r="AH64" s="215">
        <f>'ADJ DETAIL INPUT'!AI63</f>
        <v>0</v>
      </c>
      <c r="AI64" s="215">
        <f>'ADJ DETAIL INPUT'!AL63</f>
        <v>0</v>
      </c>
      <c r="AJ64" s="215">
        <f>'ADJ DETAIL INPUT'!AM63</f>
        <v>0</v>
      </c>
      <c r="AK64" s="215">
        <f>'ADJ DETAIL INPUT'!AN63</f>
        <v>0</v>
      </c>
      <c r="AL64" s="215">
        <f>'ADJ DETAIL INPUT'!AO63</f>
        <v>0</v>
      </c>
      <c r="AM64" s="215">
        <f>'ADJ DETAIL INPUT'!AP63</f>
        <v>0</v>
      </c>
      <c r="AN64" s="215">
        <f>'ADJ DETAIL INPUT'!AQ63</f>
        <v>0</v>
      </c>
      <c r="AO64" s="215">
        <f>'ADJ DETAIL INPUT'!AR63</f>
        <v>0</v>
      </c>
      <c r="AP64" s="215">
        <f>'ADJ DETAIL INPUT'!AT63</f>
        <v>0</v>
      </c>
    </row>
    <row r="65" spans="1:42">
      <c r="A65" s="192">
        <v>34</v>
      </c>
      <c r="B65" s="194"/>
      <c r="C65" s="194" t="s">
        <v>64</v>
      </c>
      <c r="D65" s="194"/>
      <c r="E65" s="216">
        <f>'ADJ DETAIL INPUT'!E64</f>
        <v>69725</v>
      </c>
      <c r="F65" s="216">
        <f>'ADJ DETAIL INPUT'!F64</f>
        <v>0</v>
      </c>
      <c r="G65" s="216">
        <f>'ADJ DETAIL INPUT'!G64</f>
        <v>0</v>
      </c>
      <c r="H65" s="216">
        <f>'ADJ DETAIL INPUT'!H64</f>
        <v>0</v>
      </c>
      <c r="I65" s="216">
        <f>'ADJ DETAIL INPUT'!I64</f>
        <v>0</v>
      </c>
      <c r="J65" s="216">
        <f>'ADJ DETAIL INPUT'!J64</f>
        <v>0</v>
      </c>
      <c r="K65" s="216">
        <f>'ADJ DETAIL INPUT'!K64</f>
        <v>0</v>
      </c>
      <c r="L65" s="216">
        <f>'ADJ DETAIL INPUT'!L64</f>
        <v>0</v>
      </c>
      <c r="M65" s="216">
        <f>'ADJ DETAIL INPUT'!M64</f>
        <v>0</v>
      </c>
      <c r="N65" s="216">
        <f>'ADJ DETAIL INPUT'!N64</f>
        <v>0</v>
      </c>
      <c r="O65" s="216">
        <f>'ADJ DETAIL INPUT'!O64</f>
        <v>0</v>
      </c>
      <c r="P65" s="216">
        <f>'ADJ DETAIL INPUT'!P64</f>
        <v>0</v>
      </c>
      <c r="Q65" s="216">
        <f>'ADJ DETAIL INPUT'!Q64</f>
        <v>0</v>
      </c>
      <c r="R65" s="216">
        <f>'ADJ DETAIL INPUT'!R64</f>
        <v>0</v>
      </c>
      <c r="S65" s="216">
        <f>'ADJ DETAIL INPUT'!S64</f>
        <v>0</v>
      </c>
      <c r="T65" s="216">
        <f>'ADJ DETAIL INPUT'!T64</f>
        <v>0</v>
      </c>
      <c r="U65" s="216">
        <f>'ADJ DETAIL INPUT'!U64</f>
        <v>0</v>
      </c>
      <c r="V65" s="216">
        <f>'ADJ DETAIL INPUT'!V64</f>
        <v>0</v>
      </c>
      <c r="W65" s="216">
        <f>'ADJ DETAIL INPUT'!W64</f>
        <v>0</v>
      </c>
      <c r="X65" s="216">
        <f>'ADJ DETAIL INPUT'!Y64</f>
        <v>0</v>
      </c>
      <c r="Y65" s="216">
        <f>'ADJ DETAIL INPUT'!Z64</f>
        <v>0</v>
      </c>
      <c r="Z65" s="216">
        <f>'ADJ DETAIL INPUT'!AA64</f>
        <v>0</v>
      </c>
      <c r="AA65" s="216">
        <f>'ADJ DETAIL INPUT'!AB64</f>
        <v>0</v>
      </c>
      <c r="AB65" s="216">
        <f>'ADJ DETAIL INPUT'!AC64</f>
        <v>0</v>
      </c>
      <c r="AC65" s="216">
        <f>'ADJ DETAIL INPUT'!AD64</f>
        <v>0</v>
      </c>
      <c r="AD65" s="216">
        <f>'ADJ DETAIL INPUT'!AE64</f>
        <v>0</v>
      </c>
      <c r="AE65" s="216">
        <f>'ADJ DETAIL INPUT'!AF64</f>
        <v>0</v>
      </c>
      <c r="AF65" s="216">
        <f>'ADJ DETAIL INPUT'!AG64</f>
        <v>5790</v>
      </c>
      <c r="AG65" s="216">
        <f>'ADJ DETAIL INPUT'!AH64</f>
        <v>1776</v>
      </c>
      <c r="AH65" s="216">
        <f>'ADJ DETAIL INPUT'!AI64</f>
        <v>0</v>
      </c>
      <c r="AI65" s="216">
        <f>'ADJ DETAIL INPUT'!AL64</f>
        <v>0</v>
      </c>
      <c r="AJ65" s="216">
        <f>'ADJ DETAIL INPUT'!AM64</f>
        <v>0</v>
      </c>
      <c r="AK65" s="216">
        <f>'ADJ DETAIL INPUT'!AN64</f>
        <v>0</v>
      </c>
      <c r="AL65" s="216">
        <f>'ADJ DETAIL INPUT'!AO64</f>
        <v>0</v>
      </c>
      <c r="AM65" s="216">
        <f>'ADJ DETAIL INPUT'!AP64</f>
        <v>0</v>
      </c>
      <c r="AN65" s="216">
        <f>'ADJ DETAIL INPUT'!AQ64</f>
        <v>0</v>
      </c>
      <c r="AO65" s="216">
        <f>'ADJ DETAIL INPUT'!AR64</f>
        <v>0</v>
      </c>
      <c r="AP65" s="216">
        <f>'ADJ DETAIL INPUT'!AT64</f>
        <v>0</v>
      </c>
    </row>
    <row r="66" spans="1:42" ht="18" customHeight="1">
      <c r="A66" s="192">
        <v>35</v>
      </c>
      <c r="B66" s="194" t="s">
        <v>65</v>
      </c>
      <c r="C66" s="194"/>
      <c r="E66" s="215">
        <f>SUM(E63:E65)</f>
        <v>449707</v>
      </c>
      <c r="F66" s="215">
        <f t="shared" ref="F66:AB66" si="67">SUM(F63:F65)</f>
        <v>0</v>
      </c>
      <c r="G66" s="215">
        <f t="shared" si="67"/>
        <v>0</v>
      </c>
      <c r="H66" s="215">
        <f t="shared" si="67"/>
        <v>0</v>
      </c>
      <c r="I66" s="215">
        <f t="shared" si="67"/>
        <v>0</v>
      </c>
      <c r="J66" s="215">
        <f t="shared" si="67"/>
        <v>0</v>
      </c>
      <c r="K66" s="215">
        <f t="shared" si="67"/>
        <v>0</v>
      </c>
      <c r="L66" s="215">
        <f t="shared" si="67"/>
        <v>0</v>
      </c>
      <c r="M66" s="215">
        <f t="shared" si="67"/>
        <v>0</v>
      </c>
      <c r="N66" s="215">
        <f t="shared" si="67"/>
        <v>0</v>
      </c>
      <c r="O66" s="215">
        <f t="shared" si="67"/>
        <v>0</v>
      </c>
      <c r="P66" s="215">
        <f t="shared" si="67"/>
        <v>0</v>
      </c>
      <c r="Q66" s="215">
        <f t="shared" si="67"/>
        <v>0</v>
      </c>
      <c r="R66" s="215">
        <f t="shared" si="67"/>
        <v>0</v>
      </c>
      <c r="S66" s="215">
        <f t="shared" ref="S66" si="68">SUM(S63:S65)</f>
        <v>0</v>
      </c>
      <c r="T66" s="215">
        <f t="shared" si="67"/>
        <v>0</v>
      </c>
      <c r="U66" s="215">
        <f>SUM(U63:U65)</f>
        <v>0</v>
      </c>
      <c r="V66" s="215">
        <f t="shared" si="67"/>
        <v>0</v>
      </c>
      <c r="W66" s="215">
        <f t="shared" ref="W66" si="69">SUM(W63:W65)</f>
        <v>0</v>
      </c>
      <c r="X66" s="215">
        <f t="shared" si="67"/>
        <v>0</v>
      </c>
      <c r="Y66" s="215">
        <f t="shared" ref="Y66" si="70">SUM(Y63:Y65)</f>
        <v>0</v>
      </c>
      <c r="Z66" s="215">
        <f t="shared" si="67"/>
        <v>0</v>
      </c>
      <c r="AA66" s="215">
        <f>SUM(AA63:AA65)</f>
        <v>0</v>
      </c>
      <c r="AB66" s="215">
        <f t="shared" si="67"/>
        <v>0</v>
      </c>
      <c r="AC66" s="215">
        <f t="shared" ref="AC66:AP66" si="71">SUM(AC63:AC65)</f>
        <v>0</v>
      </c>
      <c r="AD66" s="215">
        <f>SUM(AD63:AD65)</f>
        <v>0</v>
      </c>
      <c r="AE66" s="215">
        <f t="shared" si="71"/>
        <v>0</v>
      </c>
      <c r="AF66" s="215">
        <f t="shared" si="71"/>
        <v>12140</v>
      </c>
      <c r="AG66" s="215">
        <f t="shared" si="71"/>
        <v>8931</v>
      </c>
      <c r="AH66" s="215">
        <f t="shared" si="71"/>
        <v>0</v>
      </c>
      <c r="AI66" s="215">
        <f t="shared" ref="AI66" si="72">SUM(AI63:AI65)</f>
        <v>0</v>
      </c>
      <c r="AJ66" s="215">
        <f t="shared" si="71"/>
        <v>0</v>
      </c>
      <c r="AK66" s="215">
        <f t="shared" si="71"/>
        <v>0</v>
      </c>
      <c r="AL66" s="215">
        <f t="shared" si="71"/>
        <v>0</v>
      </c>
      <c r="AM66" s="215">
        <f t="shared" ref="AM66" si="73">SUM(AM63:AM65)</f>
        <v>0</v>
      </c>
      <c r="AN66" s="215">
        <f t="shared" si="71"/>
        <v>0</v>
      </c>
      <c r="AO66" s="215">
        <f t="shared" ref="AO66" si="74">SUM(AO63:AO65)</f>
        <v>0</v>
      </c>
      <c r="AP66" s="215">
        <f t="shared" si="71"/>
        <v>0</v>
      </c>
    </row>
    <row r="67" spans="1:42" ht="12.75" customHeight="1">
      <c r="B67" s="194"/>
      <c r="C67" s="194"/>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row>
    <row r="68" spans="1:42">
      <c r="B68" s="194" t="s">
        <v>210</v>
      </c>
      <c r="C68" s="194"/>
      <c r="D68" s="194"/>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row>
    <row r="69" spans="1:42">
      <c r="A69" s="192">
        <v>36</v>
      </c>
      <c r="B69" s="194"/>
      <c r="C69" s="194" t="s">
        <v>44</v>
      </c>
      <c r="D69" s="194"/>
      <c r="E69" s="215">
        <f>'ADJ DETAIL INPUT'!E68</f>
        <v>-9824</v>
      </c>
      <c r="F69" s="215">
        <f>'ADJ DETAIL INPUT'!F68</f>
        <v>0</v>
      </c>
      <c r="G69" s="215">
        <f>'ADJ DETAIL INPUT'!G68</f>
        <v>0</v>
      </c>
      <c r="H69" s="215">
        <f>'ADJ DETAIL INPUT'!H68</f>
        <v>0</v>
      </c>
      <c r="I69" s="215">
        <f>'ADJ DETAIL INPUT'!I68</f>
        <v>0</v>
      </c>
      <c r="J69" s="215">
        <f>'ADJ DETAIL INPUT'!J68</f>
        <v>0</v>
      </c>
      <c r="K69" s="215">
        <f>'ADJ DETAIL INPUT'!K68</f>
        <v>0</v>
      </c>
      <c r="L69" s="215">
        <f>'ADJ DETAIL INPUT'!L68</f>
        <v>0</v>
      </c>
      <c r="M69" s="215">
        <f>'ADJ DETAIL INPUT'!M68</f>
        <v>0</v>
      </c>
      <c r="N69" s="215">
        <f>'ADJ DETAIL INPUT'!N68</f>
        <v>0</v>
      </c>
      <c r="O69" s="215">
        <f>'ADJ DETAIL INPUT'!O68</f>
        <v>0</v>
      </c>
      <c r="P69" s="215">
        <f>'ADJ DETAIL INPUT'!P68</f>
        <v>0</v>
      </c>
      <c r="Q69" s="215">
        <f>'ADJ DETAIL INPUT'!Q68</f>
        <v>0</v>
      </c>
      <c r="R69" s="215">
        <f>'ADJ DETAIL INPUT'!R68</f>
        <v>0</v>
      </c>
      <c r="S69" s="215">
        <f>'ADJ DETAIL INPUT'!S68</f>
        <v>0</v>
      </c>
      <c r="T69" s="215">
        <f>'ADJ DETAIL INPUT'!T68</f>
        <v>0</v>
      </c>
      <c r="U69" s="215">
        <f>'ADJ DETAIL INPUT'!U68</f>
        <v>0</v>
      </c>
      <c r="V69" s="215">
        <f>'ADJ DETAIL INPUT'!V68</f>
        <v>0</v>
      </c>
      <c r="W69" s="215">
        <f>'ADJ DETAIL INPUT'!W68</f>
        <v>0</v>
      </c>
      <c r="X69" s="215">
        <f>'ADJ DETAIL INPUT'!Y68</f>
        <v>0</v>
      </c>
      <c r="Y69" s="215">
        <f>'ADJ DETAIL INPUT'!Z68</f>
        <v>0</v>
      </c>
      <c r="Z69" s="215">
        <f>'ADJ DETAIL INPUT'!AA68</f>
        <v>0</v>
      </c>
      <c r="AA69" s="215">
        <f>'ADJ DETAIL INPUT'!AB68</f>
        <v>0</v>
      </c>
      <c r="AB69" s="215">
        <f>'ADJ DETAIL INPUT'!AC68</f>
        <v>0</v>
      </c>
      <c r="AC69" s="215">
        <f>'ADJ DETAIL INPUT'!AD68</f>
        <v>0</v>
      </c>
      <c r="AD69" s="215">
        <f>'ADJ DETAIL INPUT'!AE68</f>
        <v>0</v>
      </c>
      <c r="AE69" s="215">
        <f>'ADJ DETAIL INPUT'!AF68</f>
        <v>0</v>
      </c>
      <c r="AF69" s="215">
        <f>'ADJ DETAIL INPUT'!AG68</f>
        <v>-82</v>
      </c>
      <c r="AG69" s="215">
        <f>'ADJ DETAIL INPUT'!AH68</f>
        <v>0</v>
      </c>
      <c r="AH69" s="215">
        <f>'ADJ DETAIL INPUT'!AI68</f>
        <v>0</v>
      </c>
      <c r="AI69" s="215">
        <f>'ADJ DETAIL INPUT'!AL68</f>
        <v>0</v>
      </c>
      <c r="AJ69" s="215">
        <f>'ADJ DETAIL INPUT'!AM68</f>
        <v>0</v>
      </c>
      <c r="AK69" s="215">
        <f>'ADJ DETAIL INPUT'!AN68</f>
        <v>0</v>
      </c>
      <c r="AL69" s="215">
        <f>'ADJ DETAIL INPUT'!AO68</f>
        <v>0</v>
      </c>
      <c r="AM69" s="215">
        <f>'ADJ DETAIL INPUT'!AP68</f>
        <v>0</v>
      </c>
      <c r="AN69" s="215">
        <f>'ADJ DETAIL INPUT'!AQ68</f>
        <v>0</v>
      </c>
      <c r="AO69" s="215">
        <f>'ADJ DETAIL INPUT'!AR68</f>
        <v>0</v>
      </c>
      <c r="AP69" s="215">
        <f>'ADJ DETAIL INPUT'!AT68</f>
        <v>0</v>
      </c>
    </row>
    <row r="70" spans="1:42">
      <c r="A70" s="192">
        <v>37</v>
      </c>
      <c r="B70" s="194"/>
      <c r="C70" s="194" t="s">
        <v>63</v>
      </c>
      <c r="D70" s="194"/>
      <c r="E70" s="215">
        <f>'ADJ DETAIL INPUT'!E69</f>
        <v>-119790</v>
      </c>
      <c r="F70" s="215">
        <f>'ADJ DETAIL INPUT'!F69</f>
        <v>0</v>
      </c>
      <c r="G70" s="215">
        <f>'ADJ DETAIL INPUT'!G69</f>
        <v>0</v>
      </c>
      <c r="H70" s="215">
        <f>'ADJ DETAIL INPUT'!H69</f>
        <v>0</v>
      </c>
      <c r="I70" s="215">
        <f>'ADJ DETAIL INPUT'!I69</f>
        <v>0</v>
      </c>
      <c r="J70" s="215">
        <f>'ADJ DETAIL INPUT'!J69</f>
        <v>0</v>
      </c>
      <c r="K70" s="215">
        <f>'ADJ DETAIL INPUT'!K69</f>
        <v>0</v>
      </c>
      <c r="L70" s="215">
        <f>'ADJ DETAIL INPUT'!L69</f>
        <v>0</v>
      </c>
      <c r="M70" s="215">
        <f>'ADJ DETAIL INPUT'!M69</f>
        <v>0</v>
      </c>
      <c r="N70" s="215">
        <f>'ADJ DETAIL INPUT'!N69</f>
        <v>0</v>
      </c>
      <c r="O70" s="215">
        <f>'ADJ DETAIL INPUT'!O69</f>
        <v>0</v>
      </c>
      <c r="P70" s="215">
        <f>'ADJ DETAIL INPUT'!P69</f>
        <v>0</v>
      </c>
      <c r="Q70" s="215">
        <f>'ADJ DETAIL INPUT'!Q69</f>
        <v>0</v>
      </c>
      <c r="R70" s="215">
        <f>'ADJ DETAIL INPUT'!R69</f>
        <v>0</v>
      </c>
      <c r="S70" s="215">
        <f>'ADJ DETAIL INPUT'!S69</f>
        <v>0</v>
      </c>
      <c r="T70" s="215">
        <f>'ADJ DETAIL INPUT'!T69</f>
        <v>0</v>
      </c>
      <c r="U70" s="215">
        <f>'ADJ DETAIL INPUT'!U69</f>
        <v>0</v>
      </c>
      <c r="V70" s="215">
        <f>'ADJ DETAIL INPUT'!V69</f>
        <v>0</v>
      </c>
      <c r="W70" s="215">
        <f>'ADJ DETAIL INPUT'!W69</f>
        <v>0</v>
      </c>
      <c r="X70" s="215">
        <f>'ADJ DETAIL INPUT'!Y69</f>
        <v>0</v>
      </c>
      <c r="Y70" s="215">
        <f>'ADJ DETAIL INPUT'!Z69</f>
        <v>0</v>
      </c>
      <c r="Z70" s="215">
        <f>'ADJ DETAIL INPUT'!AA69</f>
        <v>0</v>
      </c>
      <c r="AA70" s="215">
        <f>'ADJ DETAIL INPUT'!AB69</f>
        <v>0</v>
      </c>
      <c r="AB70" s="215">
        <f>'ADJ DETAIL INPUT'!AC69</f>
        <v>0</v>
      </c>
      <c r="AC70" s="215">
        <f>'ADJ DETAIL INPUT'!AD69</f>
        <v>0</v>
      </c>
      <c r="AD70" s="215">
        <f>'ADJ DETAIL INPUT'!AE69</f>
        <v>0</v>
      </c>
      <c r="AE70" s="215">
        <f>'ADJ DETAIL INPUT'!AF69</f>
        <v>0</v>
      </c>
      <c r="AF70" s="215">
        <f>'ADJ DETAIL INPUT'!AG69</f>
        <v>-1834</v>
      </c>
      <c r="AG70" s="215">
        <f>'ADJ DETAIL INPUT'!AH69</f>
        <v>-123</v>
      </c>
      <c r="AH70" s="215">
        <f>'ADJ DETAIL INPUT'!AI69</f>
        <v>0</v>
      </c>
      <c r="AI70" s="215">
        <f>'ADJ DETAIL INPUT'!AL69</f>
        <v>0</v>
      </c>
      <c r="AJ70" s="215">
        <f>'ADJ DETAIL INPUT'!AM69</f>
        <v>0</v>
      </c>
      <c r="AK70" s="215">
        <f>'ADJ DETAIL INPUT'!AN69</f>
        <v>0</v>
      </c>
      <c r="AL70" s="215">
        <f>'ADJ DETAIL INPUT'!AO69</f>
        <v>0</v>
      </c>
      <c r="AM70" s="215">
        <f>'ADJ DETAIL INPUT'!AP69</f>
        <v>0</v>
      </c>
      <c r="AN70" s="215">
        <f>'ADJ DETAIL INPUT'!AQ69</f>
        <v>0</v>
      </c>
      <c r="AO70" s="215">
        <f>'ADJ DETAIL INPUT'!AR69</f>
        <v>0</v>
      </c>
      <c r="AP70" s="215">
        <f>'ADJ DETAIL INPUT'!AT69</f>
        <v>0</v>
      </c>
    </row>
    <row r="71" spans="1:42">
      <c r="A71" s="192">
        <v>38</v>
      </c>
      <c r="B71" s="194"/>
      <c r="C71" s="194" t="s">
        <v>64</v>
      </c>
      <c r="D71" s="194"/>
      <c r="E71" s="216">
        <f>'ADJ DETAIL INPUT'!E70</f>
        <v>-19460</v>
      </c>
      <c r="F71" s="216">
        <f>'ADJ DETAIL INPUT'!F70</f>
        <v>0</v>
      </c>
      <c r="G71" s="216">
        <f>'ADJ DETAIL INPUT'!G70</f>
        <v>0</v>
      </c>
      <c r="H71" s="216">
        <f>'ADJ DETAIL INPUT'!H70</f>
        <v>0</v>
      </c>
      <c r="I71" s="216">
        <f>'ADJ DETAIL INPUT'!I70</f>
        <v>0</v>
      </c>
      <c r="J71" s="216">
        <f>'ADJ DETAIL INPUT'!J70</f>
        <v>0</v>
      </c>
      <c r="K71" s="216">
        <f>'ADJ DETAIL INPUT'!K70</f>
        <v>0</v>
      </c>
      <c r="L71" s="216">
        <f>'ADJ DETAIL INPUT'!L70</f>
        <v>0</v>
      </c>
      <c r="M71" s="216">
        <f>'ADJ DETAIL INPUT'!M70</f>
        <v>0</v>
      </c>
      <c r="N71" s="216">
        <f>'ADJ DETAIL INPUT'!N70</f>
        <v>0</v>
      </c>
      <c r="O71" s="216">
        <f>'ADJ DETAIL INPUT'!O70</f>
        <v>0</v>
      </c>
      <c r="P71" s="216">
        <f>'ADJ DETAIL INPUT'!P70</f>
        <v>0</v>
      </c>
      <c r="Q71" s="216">
        <f>'ADJ DETAIL INPUT'!Q70</f>
        <v>0</v>
      </c>
      <c r="R71" s="216">
        <f>'ADJ DETAIL INPUT'!R70</f>
        <v>0</v>
      </c>
      <c r="S71" s="216">
        <f>'ADJ DETAIL INPUT'!S70</f>
        <v>0</v>
      </c>
      <c r="T71" s="216">
        <f>'ADJ DETAIL INPUT'!T70</f>
        <v>0</v>
      </c>
      <c r="U71" s="216">
        <f>'ADJ DETAIL INPUT'!U70</f>
        <v>0</v>
      </c>
      <c r="V71" s="216">
        <f>'ADJ DETAIL INPUT'!V70</f>
        <v>0</v>
      </c>
      <c r="W71" s="216">
        <f>'ADJ DETAIL INPUT'!W70</f>
        <v>0</v>
      </c>
      <c r="X71" s="216">
        <f>'ADJ DETAIL INPUT'!Y70</f>
        <v>0</v>
      </c>
      <c r="Y71" s="216">
        <f>'ADJ DETAIL INPUT'!Z70</f>
        <v>0</v>
      </c>
      <c r="Z71" s="216">
        <f>'ADJ DETAIL INPUT'!AA70</f>
        <v>0</v>
      </c>
      <c r="AA71" s="216">
        <f>'ADJ DETAIL INPUT'!AB70</f>
        <v>0</v>
      </c>
      <c r="AB71" s="216">
        <f>'ADJ DETAIL INPUT'!AC70</f>
        <v>0</v>
      </c>
      <c r="AC71" s="216">
        <f>'ADJ DETAIL INPUT'!AD70</f>
        <v>0</v>
      </c>
      <c r="AD71" s="216">
        <f>'ADJ DETAIL INPUT'!AE70</f>
        <v>0</v>
      </c>
      <c r="AE71" s="216">
        <f>'ADJ DETAIL INPUT'!AF70</f>
        <v>0</v>
      </c>
      <c r="AF71" s="216">
        <f>'ADJ DETAIL INPUT'!AG70</f>
        <v>-1280</v>
      </c>
      <c r="AG71" s="216">
        <f>'ADJ DETAIL INPUT'!AH70</f>
        <v>-122</v>
      </c>
      <c r="AH71" s="216">
        <f>'ADJ DETAIL INPUT'!AI70</f>
        <v>0</v>
      </c>
      <c r="AI71" s="216">
        <f>'ADJ DETAIL INPUT'!AL70</f>
        <v>0</v>
      </c>
      <c r="AJ71" s="216">
        <f>'ADJ DETAIL INPUT'!AM70</f>
        <v>0</v>
      </c>
      <c r="AK71" s="216">
        <f>'ADJ DETAIL INPUT'!AN70</f>
        <v>0</v>
      </c>
      <c r="AL71" s="216">
        <f>'ADJ DETAIL INPUT'!AO70</f>
        <v>0</v>
      </c>
      <c r="AM71" s="216">
        <f>'ADJ DETAIL INPUT'!AP70</f>
        <v>0</v>
      </c>
      <c r="AN71" s="216">
        <f>'ADJ DETAIL INPUT'!AQ70</f>
        <v>0</v>
      </c>
      <c r="AO71" s="216">
        <f>'ADJ DETAIL INPUT'!AR70</f>
        <v>0</v>
      </c>
      <c r="AP71" s="216">
        <f>'ADJ DETAIL INPUT'!AT70</f>
        <v>0</v>
      </c>
    </row>
    <row r="72" spans="1:42">
      <c r="A72" s="192">
        <v>39</v>
      </c>
      <c r="B72" s="194" t="s">
        <v>429</v>
      </c>
      <c r="C72" s="194"/>
      <c r="E72" s="218">
        <f>SUM(E69:E71)</f>
        <v>-149074</v>
      </c>
      <c r="F72" s="218">
        <f t="shared" ref="F72:AB72" si="75">SUM(F69:F71)</f>
        <v>0</v>
      </c>
      <c r="G72" s="218">
        <f t="shared" si="75"/>
        <v>0</v>
      </c>
      <c r="H72" s="218">
        <f t="shared" si="75"/>
        <v>0</v>
      </c>
      <c r="I72" s="218">
        <f t="shared" si="75"/>
        <v>0</v>
      </c>
      <c r="J72" s="218">
        <f t="shared" si="75"/>
        <v>0</v>
      </c>
      <c r="K72" s="218">
        <f t="shared" si="75"/>
        <v>0</v>
      </c>
      <c r="L72" s="218">
        <f t="shared" si="75"/>
        <v>0</v>
      </c>
      <c r="M72" s="218">
        <f t="shared" si="75"/>
        <v>0</v>
      </c>
      <c r="N72" s="218">
        <f t="shared" si="75"/>
        <v>0</v>
      </c>
      <c r="O72" s="218">
        <f t="shared" si="75"/>
        <v>0</v>
      </c>
      <c r="P72" s="218">
        <f t="shared" si="75"/>
        <v>0</v>
      </c>
      <c r="Q72" s="218">
        <f t="shared" si="75"/>
        <v>0</v>
      </c>
      <c r="R72" s="218">
        <f t="shared" si="75"/>
        <v>0</v>
      </c>
      <c r="S72" s="218">
        <f t="shared" ref="S72" si="76">SUM(S69:S71)</f>
        <v>0</v>
      </c>
      <c r="T72" s="218">
        <f t="shared" si="75"/>
        <v>0</v>
      </c>
      <c r="U72" s="218">
        <f>SUM(U69:U71)</f>
        <v>0</v>
      </c>
      <c r="V72" s="218">
        <f t="shared" si="75"/>
        <v>0</v>
      </c>
      <c r="W72" s="218">
        <f t="shared" ref="W72" si="77">SUM(W69:W71)</f>
        <v>0</v>
      </c>
      <c r="X72" s="218">
        <f t="shared" si="75"/>
        <v>0</v>
      </c>
      <c r="Y72" s="218">
        <f t="shared" ref="Y72" si="78">SUM(Y69:Y71)</f>
        <v>0</v>
      </c>
      <c r="Z72" s="218">
        <f t="shared" si="75"/>
        <v>0</v>
      </c>
      <c r="AA72" s="218">
        <f>SUM(AA69:AA71)</f>
        <v>0</v>
      </c>
      <c r="AB72" s="218">
        <f t="shared" si="75"/>
        <v>0</v>
      </c>
      <c r="AC72" s="218">
        <f t="shared" ref="AC72:AP72" si="79">SUM(AC69:AC71)</f>
        <v>0</v>
      </c>
      <c r="AD72" s="218">
        <f>SUM(AD69:AD71)</f>
        <v>0</v>
      </c>
      <c r="AE72" s="218">
        <f t="shared" si="79"/>
        <v>0</v>
      </c>
      <c r="AF72" s="218">
        <f t="shared" si="79"/>
        <v>-3196</v>
      </c>
      <c r="AG72" s="218">
        <f t="shared" si="79"/>
        <v>-245</v>
      </c>
      <c r="AH72" s="218">
        <f t="shared" si="79"/>
        <v>0</v>
      </c>
      <c r="AI72" s="218">
        <f t="shared" ref="AI72" si="80">SUM(AI69:AI71)</f>
        <v>0</v>
      </c>
      <c r="AJ72" s="218">
        <f t="shared" si="79"/>
        <v>0</v>
      </c>
      <c r="AK72" s="218">
        <f t="shared" si="79"/>
        <v>0</v>
      </c>
      <c r="AL72" s="218">
        <f t="shared" si="79"/>
        <v>0</v>
      </c>
      <c r="AM72" s="218">
        <f t="shared" ref="AM72" si="81">SUM(AM69:AM71)</f>
        <v>0</v>
      </c>
      <c r="AN72" s="218">
        <f t="shared" si="79"/>
        <v>0</v>
      </c>
      <c r="AO72" s="218">
        <f t="shared" ref="AO72" si="82">SUM(AO69:AO71)</f>
        <v>0</v>
      </c>
      <c r="AP72" s="218">
        <f t="shared" si="79"/>
        <v>0</v>
      </c>
    </row>
    <row r="73" spans="1:42">
      <c r="A73" s="192">
        <v>40</v>
      </c>
      <c r="B73" s="194" t="s">
        <v>179</v>
      </c>
      <c r="C73" s="194"/>
      <c r="D73" s="194"/>
      <c r="E73" s="219">
        <f>E66+E72</f>
        <v>300633</v>
      </c>
      <c r="F73" s="219">
        <f t="shared" ref="F73:AB73" si="83">F66+F72</f>
        <v>0</v>
      </c>
      <c r="G73" s="219">
        <f t="shared" si="83"/>
        <v>0</v>
      </c>
      <c r="H73" s="219">
        <f t="shared" si="83"/>
        <v>0</v>
      </c>
      <c r="I73" s="219">
        <f t="shared" si="83"/>
        <v>0</v>
      </c>
      <c r="J73" s="219">
        <f t="shared" si="83"/>
        <v>0</v>
      </c>
      <c r="K73" s="219">
        <f t="shared" si="83"/>
        <v>0</v>
      </c>
      <c r="L73" s="219">
        <f t="shared" si="83"/>
        <v>0</v>
      </c>
      <c r="M73" s="219">
        <f t="shared" si="83"/>
        <v>0</v>
      </c>
      <c r="N73" s="219">
        <f t="shared" si="83"/>
        <v>0</v>
      </c>
      <c r="O73" s="219">
        <f t="shared" si="83"/>
        <v>0</v>
      </c>
      <c r="P73" s="219">
        <f t="shared" si="83"/>
        <v>0</v>
      </c>
      <c r="Q73" s="219">
        <f t="shared" si="83"/>
        <v>0</v>
      </c>
      <c r="R73" s="219">
        <f t="shared" si="83"/>
        <v>0</v>
      </c>
      <c r="S73" s="219">
        <f t="shared" ref="S73" si="84">S66+S72</f>
        <v>0</v>
      </c>
      <c r="T73" s="219">
        <f t="shared" si="83"/>
        <v>0</v>
      </c>
      <c r="U73" s="219">
        <f>U66+U72</f>
        <v>0</v>
      </c>
      <c r="V73" s="219">
        <f t="shared" si="83"/>
        <v>0</v>
      </c>
      <c r="W73" s="219">
        <f t="shared" ref="W73" si="85">W66+W72</f>
        <v>0</v>
      </c>
      <c r="X73" s="219">
        <f t="shared" si="83"/>
        <v>0</v>
      </c>
      <c r="Y73" s="219">
        <f t="shared" ref="Y73" si="86">Y66+Y72</f>
        <v>0</v>
      </c>
      <c r="Z73" s="219">
        <f t="shared" si="83"/>
        <v>0</v>
      </c>
      <c r="AA73" s="219">
        <f>AA66+AA72</f>
        <v>0</v>
      </c>
      <c r="AB73" s="219">
        <f t="shared" si="83"/>
        <v>0</v>
      </c>
      <c r="AC73" s="219">
        <f t="shared" ref="AC73:AP73" si="87">AC66+AC72</f>
        <v>0</v>
      </c>
      <c r="AD73" s="219">
        <f>AD66+AD72</f>
        <v>0</v>
      </c>
      <c r="AE73" s="219">
        <f t="shared" si="87"/>
        <v>0</v>
      </c>
      <c r="AF73" s="219">
        <f t="shared" si="87"/>
        <v>8944</v>
      </c>
      <c r="AG73" s="219">
        <f t="shared" si="87"/>
        <v>8686</v>
      </c>
      <c r="AH73" s="219">
        <f t="shared" si="87"/>
        <v>0</v>
      </c>
      <c r="AI73" s="219">
        <f t="shared" ref="AI73" si="88">AI66+AI72</f>
        <v>0</v>
      </c>
      <c r="AJ73" s="219">
        <f t="shared" si="87"/>
        <v>0</v>
      </c>
      <c r="AK73" s="219">
        <f t="shared" si="87"/>
        <v>0</v>
      </c>
      <c r="AL73" s="219">
        <f t="shared" si="87"/>
        <v>0</v>
      </c>
      <c r="AM73" s="219">
        <f t="shared" ref="AM73" si="89">AM66+AM72</f>
        <v>0</v>
      </c>
      <c r="AN73" s="219">
        <f t="shared" si="87"/>
        <v>0</v>
      </c>
      <c r="AO73" s="219">
        <f t="shared" ref="AO73" si="90">AO66+AO72</f>
        <v>0</v>
      </c>
      <c r="AP73" s="219">
        <f t="shared" si="87"/>
        <v>0</v>
      </c>
    </row>
    <row r="74" spans="1:42" s="197" customFormat="1" ht="19" customHeight="1">
      <c r="A74" s="195">
        <v>41</v>
      </c>
      <c r="B74" s="196" t="s">
        <v>213</v>
      </c>
      <c r="C74" s="196"/>
      <c r="D74" s="196"/>
      <c r="E74" s="216">
        <f>'ADJ DETAIL INPUT'!E73</f>
        <v>-65675</v>
      </c>
      <c r="F74" s="216">
        <f>'ADJ DETAIL INPUT'!F73</f>
        <v>50</v>
      </c>
      <c r="G74" s="216">
        <f>'ADJ DETAIL INPUT'!G73</f>
        <v>0</v>
      </c>
      <c r="H74" s="216">
        <f>'ADJ DETAIL INPUT'!H73</f>
        <v>0</v>
      </c>
      <c r="I74" s="216">
        <f>'ADJ DETAIL INPUT'!I73</f>
        <v>0</v>
      </c>
      <c r="J74" s="216">
        <f>'ADJ DETAIL INPUT'!J73</f>
        <v>0</v>
      </c>
      <c r="K74" s="216">
        <f>'ADJ DETAIL INPUT'!K73</f>
        <v>0</v>
      </c>
      <c r="L74" s="216">
        <f>'ADJ DETAIL INPUT'!L73</f>
        <v>0</v>
      </c>
      <c r="M74" s="216">
        <f>'ADJ DETAIL INPUT'!M73</f>
        <v>0</v>
      </c>
      <c r="N74" s="216">
        <f>'ADJ DETAIL INPUT'!N73</f>
        <v>0</v>
      </c>
      <c r="O74" s="216">
        <f>'ADJ DETAIL INPUT'!O73</f>
        <v>0</v>
      </c>
      <c r="P74" s="216">
        <f>'ADJ DETAIL INPUT'!P73</f>
        <v>0</v>
      </c>
      <c r="Q74" s="216">
        <f>'ADJ DETAIL INPUT'!Q73</f>
        <v>0</v>
      </c>
      <c r="R74" s="216">
        <f>'ADJ DETAIL INPUT'!R73</f>
        <v>0</v>
      </c>
      <c r="S74" s="216">
        <f>'ADJ DETAIL INPUT'!S73</f>
        <v>0</v>
      </c>
      <c r="T74" s="216">
        <f>'ADJ DETAIL INPUT'!T73</f>
        <v>0</v>
      </c>
      <c r="U74" s="216">
        <f>'ADJ DETAIL INPUT'!U73</f>
        <v>0</v>
      </c>
      <c r="V74" s="216">
        <f>'ADJ DETAIL INPUT'!V73</f>
        <v>0</v>
      </c>
      <c r="W74" s="216">
        <f>'ADJ DETAIL INPUT'!W73</f>
        <v>0</v>
      </c>
      <c r="X74" s="216">
        <f>'ADJ DETAIL INPUT'!Y73</f>
        <v>0</v>
      </c>
      <c r="Y74" s="216">
        <f>'ADJ DETAIL INPUT'!Z73</f>
        <v>0</v>
      </c>
      <c r="Z74" s="216">
        <f>'ADJ DETAIL INPUT'!AA73</f>
        <v>0</v>
      </c>
      <c r="AA74" s="216">
        <f>'ADJ DETAIL INPUT'!AB73</f>
        <v>0</v>
      </c>
      <c r="AB74" s="216">
        <f>'ADJ DETAIL INPUT'!AC73</f>
        <v>0</v>
      </c>
      <c r="AC74" s="216">
        <f>'ADJ DETAIL INPUT'!AD73</f>
        <v>0</v>
      </c>
      <c r="AD74" s="216">
        <f>'ADJ DETAIL INPUT'!AE73</f>
        <v>0</v>
      </c>
      <c r="AE74" s="216">
        <f>'ADJ DETAIL INPUT'!AF73</f>
        <v>0</v>
      </c>
      <c r="AF74" s="216">
        <f>'ADJ DETAIL INPUT'!AG73</f>
        <v>696</v>
      </c>
      <c r="AG74" s="216">
        <f>'ADJ DETAIL INPUT'!AH73</f>
        <v>-1198</v>
      </c>
      <c r="AH74" s="216">
        <f>'ADJ DETAIL INPUT'!AI73</f>
        <v>0</v>
      </c>
      <c r="AI74" s="216">
        <f>'ADJ DETAIL INPUT'!AL73</f>
        <v>0</v>
      </c>
      <c r="AJ74" s="216">
        <f>'ADJ DETAIL INPUT'!AM73</f>
        <v>0</v>
      </c>
      <c r="AK74" s="216">
        <f>'ADJ DETAIL INPUT'!AN73</f>
        <v>0</v>
      </c>
      <c r="AL74" s="216">
        <f>'ADJ DETAIL INPUT'!AO73</f>
        <v>0</v>
      </c>
      <c r="AM74" s="216">
        <f>'ADJ DETAIL INPUT'!AP73</f>
        <v>0</v>
      </c>
      <c r="AN74" s="216">
        <f>'ADJ DETAIL INPUT'!AQ73</f>
        <v>0</v>
      </c>
      <c r="AO74" s="216">
        <f>'ADJ DETAIL INPUT'!AR73</f>
        <v>0</v>
      </c>
      <c r="AP74" s="216">
        <f>'ADJ DETAIL INPUT'!AT73</f>
        <v>0</v>
      </c>
    </row>
    <row r="75" spans="1:42" s="197" customFormat="1" ht="19" customHeight="1">
      <c r="A75" s="195">
        <v>42</v>
      </c>
      <c r="B75" s="196" t="s">
        <v>211</v>
      </c>
      <c r="C75" s="196"/>
      <c r="D75" s="196"/>
      <c r="E75" s="219">
        <f>E73+E74</f>
        <v>234958</v>
      </c>
      <c r="F75" s="219">
        <f t="shared" ref="F75:AB75" si="91">F73+F74</f>
        <v>50</v>
      </c>
      <c r="G75" s="219">
        <f t="shared" si="91"/>
        <v>0</v>
      </c>
      <c r="H75" s="219">
        <f t="shared" si="91"/>
        <v>0</v>
      </c>
      <c r="I75" s="219">
        <f t="shared" si="91"/>
        <v>0</v>
      </c>
      <c r="J75" s="219">
        <f t="shared" si="91"/>
        <v>0</v>
      </c>
      <c r="K75" s="219">
        <f t="shared" si="91"/>
        <v>0</v>
      </c>
      <c r="L75" s="219">
        <f t="shared" si="91"/>
        <v>0</v>
      </c>
      <c r="M75" s="219">
        <f t="shared" si="91"/>
        <v>0</v>
      </c>
      <c r="N75" s="219">
        <f t="shared" si="91"/>
        <v>0</v>
      </c>
      <c r="O75" s="219">
        <f t="shared" si="91"/>
        <v>0</v>
      </c>
      <c r="P75" s="219">
        <f t="shared" si="91"/>
        <v>0</v>
      </c>
      <c r="Q75" s="219">
        <f t="shared" si="91"/>
        <v>0</v>
      </c>
      <c r="R75" s="219">
        <f t="shared" si="91"/>
        <v>0</v>
      </c>
      <c r="S75" s="219">
        <f t="shared" ref="S75" si="92">S73+S74</f>
        <v>0</v>
      </c>
      <c r="T75" s="219">
        <f t="shared" si="91"/>
        <v>0</v>
      </c>
      <c r="U75" s="219">
        <f>U73+U74</f>
        <v>0</v>
      </c>
      <c r="V75" s="219">
        <f t="shared" si="91"/>
        <v>0</v>
      </c>
      <c r="W75" s="219">
        <f t="shared" ref="W75" si="93">W73+W74</f>
        <v>0</v>
      </c>
      <c r="X75" s="219">
        <f t="shared" si="91"/>
        <v>0</v>
      </c>
      <c r="Y75" s="219">
        <f t="shared" ref="Y75" si="94">Y73+Y74</f>
        <v>0</v>
      </c>
      <c r="Z75" s="219">
        <f t="shared" si="91"/>
        <v>0</v>
      </c>
      <c r="AA75" s="219">
        <f>AA73+AA74</f>
        <v>0</v>
      </c>
      <c r="AB75" s="219">
        <f t="shared" si="91"/>
        <v>0</v>
      </c>
      <c r="AC75" s="219">
        <f t="shared" ref="AC75:AP75" si="95">AC73+AC74</f>
        <v>0</v>
      </c>
      <c r="AD75" s="219">
        <f>AD73+AD74</f>
        <v>0</v>
      </c>
      <c r="AE75" s="219">
        <f t="shared" si="95"/>
        <v>0</v>
      </c>
      <c r="AF75" s="219">
        <f t="shared" si="95"/>
        <v>9640</v>
      </c>
      <c r="AG75" s="219">
        <f t="shared" si="95"/>
        <v>7488</v>
      </c>
      <c r="AH75" s="219">
        <f t="shared" si="95"/>
        <v>0</v>
      </c>
      <c r="AI75" s="219">
        <f t="shared" ref="AI75" si="96">AI73+AI74</f>
        <v>0</v>
      </c>
      <c r="AJ75" s="219">
        <f t="shared" si="95"/>
        <v>0</v>
      </c>
      <c r="AK75" s="219">
        <f t="shared" si="95"/>
        <v>0</v>
      </c>
      <c r="AL75" s="219">
        <f t="shared" si="95"/>
        <v>0</v>
      </c>
      <c r="AM75" s="219">
        <f t="shared" ref="AM75" si="97">AM73+AM74</f>
        <v>0</v>
      </c>
      <c r="AN75" s="219">
        <f t="shared" si="95"/>
        <v>0</v>
      </c>
      <c r="AO75" s="219">
        <f t="shared" ref="AO75" si="98">AO73+AO74</f>
        <v>0</v>
      </c>
      <c r="AP75" s="219">
        <f t="shared" si="95"/>
        <v>0</v>
      </c>
    </row>
    <row r="76" spans="1:42">
      <c r="A76" s="192">
        <v>43</v>
      </c>
      <c r="B76" s="194" t="s">
        <v>68</v>
      </c>
      <c r="C76" s="194"/>
      <c r="D76" s="194"/>
      <c r="E76" s="215">
        <f>'ADJ DETAIL INPUT'!E75</f>
        <v>15143</v>
      </c>
      <c r="F76" s="215">
        <f>'ADJ DETAIL INPUT'!F75</f>
        <v>0</v>
      </c>
      <c r="G76" s="215">
        <f>'ADJ DETAIL INPUT'!G75</f>
        <v>0</v>
      </c>
      <c r="H76" s="215">
        <f>'ADJ DETAIL INPUT'!H75</f>
        <v>0</v>
      </c>
      <c r="I76" s="215">
        <f>'ADJ DETAIL INPUT'!I75</f>
        <v>0</v>
      </c>
      <c r="J76" s="215">
        <f>'ADJ DETAIL INPUT'!J75</f>
        <v>0</v>
      </c>
      <c r="K76" s="215">
        <f>'ADJ DETAIL INPUT'!K75</f>
        <v>0</v>
      </c>
      <c r="L76" s="215">
        <f>'ADJ DETAIL INPUT'!L75</f>
        <v>0</v>
      </c>
      <c r="M76" s="215">
        <f>'ADJ DETAIL INPUT'!M75</f>
        <v>0</v>
      </c>
      <c r="N76" s="215">
        <f>'ADJ DETAIL INPUT'!N75</f>
        <v>0</v>
      </c>
      <c r="O76" s="215">
        <f>'ADJ DETAIL INPUT'!O75</f>
        <v>0</v>
      </c>
      <c r="P76" s="215">
        <f>'ADJ DETAIL INPUT'!P75</f>
        <v>0</v>
      </c>
      <c r="Q76" s="215">
        <f>'ADJ DETAIL INPUT'!Q75</f>
        <v>0</v>
      </c>
      <c r="R76" s="215">
        <f>'ADJ DETAIL INPUT'!R75</f>
        <v>0</v>
      </c>
      <c r="S76" s="215">
        <f>'ADJ DETAIL INPUT'!S75</f>
        <v>0</v>
      </c>
      <c r="T76" s="215">
        <f>'ADJ DETAIL INPUT'!T75</f>
        <v>0</v>
      </c>
      <c r="U76" s="215">
        <f>'ADJ DETAIL INPUT'!U75</f>
        <v>0</v>
      </c>
      <c r="V76" s="215">
        <f>'ADJ DETAIL INPUT'!V75</f>
        <v>0</v>
      </c>
      <c r="W76" s="215">
        <f>'ADJ DETAIL INPUT'!W75</f>
        <v>0</v>
      </c>
      <c r="X76" s="215">
        <f>'ADJ DETAIL INPUT'!Y75</f>
        <v>0</v>
      </c>
      <c r="Y76" s="215">
        <f>'ADJ DETAIL INPUT'!Z75</f>
        <v>0</v>
      </c>
      <c r="Z76" s="215">
        <f>'ADJ DETAIL INPUT'!AA75</f>
        <v>0</v>
      </c>
      <c r="AA76" s="215">
        <f>'ADJ DETAIL INPUT'!AB75</f>
        <v>0</v>
      </c>
      <c r="AB76" s="215">
        <f>'ADJ DETAIL INPUT'!AC75</f>
        <v>0</v>
      </c>
      <c r="AC76" s="215">
        <f>'ADJ DETAIL INPUT'!AD75</f>
        <v>0</v>
      </c>
      <c r="AD76" s="215">
        <f>'ADJ DETAIL INPUT'!AE75</f>
        <v>0</v>
      </c>
      <c r="AE76" s="215">
        <f>'ADJ DETAIL INPUT'!AF75</f>
        <v>0</v>
      </c>
      <c r="AF76" s="215">
        <f>'ADJ DETAIL INPUT'!AG75</f>
        <v>0</v>
      </c>
      <c r="AG76" s="215">
        <f>'ADJ DETAIL INPUT'!AH75</f>
        <v>0</v>
      </c>
      <c r="AH76" s="215">
        <f>'ADJ DETAIL INPUT'!AI75</f>
        <v>0</v>
      </c>
      <c r="AI76" s="215">
        <f>'ADJ DETAIL INPUT'!AL75</f>
        <v>0</v>
      </c>
      <c r="AJ76" s="215">
        <f>'ADJ DETAIL INPUT'!AM75</f>
        <v>0</v>
      </c>
      <c r="AK76" s="215">
        <f>'ADJ DETAIL INPUT'!AN75</f>
        <v>0</v>
      </c>
      <c r="AL76" s="215">
        <f>'ADJ DETAIL INPUT'!AO75</f>
        <v>0</v>
      </c>
      <c r="AM76" s="215">
        <f>'ADJ DETAIL INPUT'!AP75</f>
        <v>0</v>
      </c>
      <c r="AN76" s="215">
        <f>'ADJ DETAIL INPUT'!AQ75</f>
        <v>0</v>
      </c>
      <c r="AO76" s="215">
        <f>'ADJ DETAIL INPUT'!AR75</f>
        <v>0</v>
      </c>
      <c r="AP76" s="215">
        <f>'ADJ DETAIL INPUT'!AT75</f>
        <v>0</v>
      </c>
    </row>
    <row r="77" spans="1:42" s="197" customFormat="1">
      <c r="A77" s="195">
        <v>44</v>
      </c>
      <c r="B77" s="196" t="s">
        <v>69</v>
      </c>
      <c r="C77" s="196"/>
      <c r="D77" s="196"/>
      <c r="E77" s="215">
        <f>'ADJ DETAIL INPUT'!E76</f>
        <v>0</v>
      </c>
      <c r="F77" s="215">
        <f>'ADJ DETAIL INPUT'!F76</f>
        <v>0</v>
      </c>
      <c r="G77" s="215">
        <f>'ADJ DETAIL INPUT'!G76</f>
        <v>0</v>
      </c>
      <c r="H77" s="215">
        <f>'ADJ DETAIL INPUT'!H76</f>
        <v>0</v>
      </c>
      <c r="I77" s="215">
        <f>'ADJ DETAIL INPUT'!I76</f>
        <v>0</v>
      </c>
      <c r="J77" s="215">
        <f>'ADJ DETAIL INPUT'!J76</f>
        <v>0</v>
      </c>
      <c r="K77" s="215">
        <f>'ADJ DETAIL INPUT'!K76</f>
        <v>0</v>
      </c>
      <c r="L77" s="215">
        <f>'ADJ DETAIL INPUT'!L76</f>
        <v>0</v>
      </c>
      <c r="M77" s="215">
        <f>'ADJ DETAIL INPUT'!M76</f>
        <v>0</v>
      </c>
      <c r="N77" s="215">
        <f>'ADJ DETAIL INPUT'!N76</f>
        <v>0</v>
      </c>
      <c r="O77" s="215">
        <f>'ADJ DETAIL INPUT'!O76</f>
        <v>0</v>
      </c>
      <c r="P77" s="215">
        <f>'ADJ DETAIL INPUT'!P76</f>
        <v>0</v>
      </c>
      <c r="Q77" s="215">
        <f>'ADJ DETAIL INPUT'!Q76</f>
        <v>0</v>
      </c>
      <c r="R77" s="215">
        <f>'ADJ DETAIL INPUT'!R76</f>
        <v>0</v>
      </c>
      <c r="S77" s="215">
        <f>'ADJ DETAIL INPUT'!S76</f>
        <v>0</v>
      </c>
      <c r="T77" s="215">
        <f>'ADJ DETAIL INPUT'!T76</f>
        <v>0</v>
      </c>
      <c r="U77" s="215">
        <f>'ADJ DETAIL INPUT'!U76</f>
        <v>0</v>
      </c>
      <c r="V77" s="215">
        <f>'ADJ DETAIL INPUT'!V76</f>
        <v>0</v>
      </c>
      <c r="W77" s="215">
        <f>'ADJ DETAIL INPUT'!W76</f>
        <v>0</v>
      </c>
      <c r="X77" s="215">
        <f>'ADJ DETAIL INPUT'!Y76</f>
        <v>0</v>
      </c>
      <c r="Y77" s="215">
        <f>'ADJ DETAIL INPUT'!Z76</f>
        <v>0</v>
      </c>
      <c r="Z77" s="215">
        <f>'ADJ DETAIL INPUT'!AA76</f>
        <v>0</v>
      </c>
      <c r="AA77" s="215">
        <f>'ADJ DETAIL INPUT'!AB76</f>
        <v>0</v>
      </c>
      <c r="AB77" s="215">
        <f>'ADJ DETAIL INPUT'!AC76</f>
        <v>0</v>
      </c>
      <c r="AC77" s="215">
        <f>'ADJ DETAIL INPUT'!AD76</f>
        <v>0</v>
      </c>
      <c r="AD77" s="215">
        <f>'ADJ DETAIL INPUT'!AE76</f>
        <v>0</v>
      </c>
      <c r="AE77" s="215">
        <f>'ADJ DETAIL INPUT'!AF76</f>
        <v>0</v>
      </c>
      <c r="AF77" s="215">
        <f>'ADJ DETAIL INPUT'!AG76</f>
        <v>0</v>
      </c>
      <c r="AG77" s="215">
        <f>'ADJ DETAIL INPUT'!AH76</f>
        <v>0</v>
      </c>
      <c r="AH77" s="215">
        <f>'ADJ DETAIL INPUT'!AI76</f>
        <v>0</v>
      </c>
      <c r="AI77" s="215">
        <f>'ADJ DETAIL INPUT'!AL76</f>
        <v>0</v>
      </c>
      <c r="AJ77" s="215">
        <f>'ADJ DETAIL INPUT'!AM76</f>
        <v>0</v>
      </c>
      <c r="AK77" s="215">
        <f>'ADJ DETAIL INPUT'!AN76</f>
        <v>0</v>
      </c>
      <c r="AL77" s="215">
        <f>'ADJ DETAIL INPUT'!AO76</f>
        <v>0</v>
      </c>
      <c r="AM77" s="215">
        <f>'ADJ DETAIL INPUT'!AP76</f>
        <v>0</v>
      </c>
      <c r="AN77" s="215">
        <f>'ADJ DETAIL INPUT'!AQ76</f>
        <v>0</v>
      </c>
      <c r="AO77" s="215">
        <f>'ADJ DETAIL INPUT'!AR76</f>
        <v>0</v>
      </c>
      <c r="AP77" s="215">
        <f>'ADJ DETAIL INPUT'!AT76</f>
        <v>0</v>
      </c>
    </row>
    <row r="78" spans="1:42" s="197" customFormat="1">
      <c r="A78" s="195">
        <v>45</v>
      </c>
      <c r="B78" s="196" t="s">
        <v>432</v>
      </c>
      <c r="C78" s="196"/>
      <c r="D78" s="196"/>
      <c r="E78" s="215">
        <f>'ADJ DETAIL INPUT'!E77</f>
        <v>-509</v>
      </c>
      <c r="F78" s="215">
        <f>'ADJ DETAIL INPUT'!F77</f>
        <v>0</v>
      </c>
      <c r="G78" s="215">
        <f>'ADJ DETAIL INPUT'!G77</f>
        <v>0</v>
      </c>
      <c r="H78" s="215">
        <f>'ADJ DETAIL INPUT'!H77</f>
        <v>0</v>
      </c>
      <c r="I78" s="215">
        <f>'ADJ DETAIL INPUT'!I77</f>
        <v>0</v>
      </c>
      <c r="J78" s="215">
        <f>'ADJ DETAIL INPUT'!J77</f>
        <v>0</v>
      </c>
      <c r="K78" s="215">
        <f>'ADJ DETAIL INPUT'!K77</f>
        <v>0</v>
      </c>
      <c r="L78" s="215">
        <f>'ADJ DETAIL INPUT'!L77</f>
        <v>0</v>
      </c>
      <c r="M78" s="215">
        <f>'ADJ DETAIL INPUT'!M77</f>
        <v>0</v>
      </c>
      <c r="N78" s="215">
        <f>'ADJ DETAIL INPUT'!N77</f>
        <v>0</v>
      </c>
      <c r="O78" s="215">
        <f>'ADJ DETAIL INPUT'!O77</f>
        <v>0</v>
      </c>
      <c r="P78" s="215">
        <f>'ADJ DETAIL INPUT'!P77</f>
        <v>0</v>
      </c>
      <c r="Q78" s="215">
        <f>'ADJ DETAIL INPUT'!Q77</f>
        <v>0</v>
      </c>
      <c r="R78" s="215">
        <f>'ADJ DETAIL INPUT'!R77</f>
        <v>0</v>
      </c>
      <c r="S78" s="215">
        <f>'ADJ DETAIL INPUT'!S77</f>
        <v>0</v>
      </c>
      <c r="T78" s="215">
        <f>'ADJ DETAIL INPUT'!T77</f>
        <v>0</v>
      </c>
      <c r="U78" s="215">
        <f>'ADJ DETAIL INPUT'!U77</f>
        <v>0</v>
      </c>
      <c r="V78" s="215">
        <f>'ADJ DETAIL INPUT'!V77</f>
        <v>0</v>
      </c>
      <c r="W78" s="215">
        <f>'ADJ DETAIL INPUT'!W77</f>
        <v>0</v>
      </c>
      <c r="X78" s="215">
        <f>'ADJ DETAIL INPUT'!Y77</f>
        <v>0</v>
      </c>
      <c r="Y78" s="215">
        <f>'ADJ DETAIL INPUT'!Z77</f>
        <v>0</v>
      </c>
      <c r="Z78" s="215">
        <f>'ADJ DETAIL INPUT'!AA77</f>
        <v>0</v>
      </c>
      <c r="AA78" s="215">
        <f>'ADJ DETAIL INPUT'!AB77</f>
        <v>0</v>
      </c>
      <c r="AB78" s="215">
        <f>'ADJ DETAIL INPUT'!AC77</f>
        <v>0</v>
      </c>
      <c r="AC78" s="215">
        <f>'ADJ DETAIL INPUT'!AD77</f>
        <v>0</v>
      </c>
      <c r="AD78" s="215">
        <f>'ADJ DETAIL INPUT'!AE77</f>
        <v>0</v>
      </c>
      <c r="AE78" s="215">
        <f>'ADJ DETAIL INPUT'!AF77</f>
        <v>0</v>
      </c>
      <c r="AF78" s="215">
        <f>'ADJ DETAIL INPUT'!AG77</f>
        <v>0</v>
      </c>
      <c r="AG78" s="215">
        <f>'ADJ DETAIL INPUT'!AH77</f>
        <v>0</v>
      </c>
      <c r="AH78" s="215">
        <f>'ADJ DETAIL INPUT'!AI77</f>
        <v>0</v>
      </c>
      <c r="AI78" s="215">
        <f>'ADJ DETAIL INPUT'!AL77</f>
        <v>0</v>
      </c>
      <c r="AJ78" s="215">
        <f>'ADJ DETAIL INPUT'!AM77</f>
        <v>0</v>
      </c>
      <c r="AK78" s="215">
        <f>'ADJ DETAIL INPUT'!AN77</f>
        <v>0</v>
      </c>
      <c r="AL78" s="215">
        <f>'ADJ DETAIL INPUT'!AO77</f>
        <v>0</v>
      </c>
      <c r="AM78" s="215">
        <f>'ADJ DETAIL INPUT'!AP77</f>
        <v>0</v>
      </c>
      <c r="AN78" s="215">
        <f>'ADJ DETAIL INPUT'!AQ77</f>
        <v>0</v>
      </c>
      <c r="AO78" s="215">
        <f>'ADJ DETAIL INPUT'!AR77</f>
        <v>0</v>
      </c>
      <c r="AP78" s="215">
        <f>'ADJ DETAIL INPUT'!AT77</f>
        <v>0</v>
      </c>
    </row>
    <row r="79" spans="1:42">
      <c r="A79" s="192">
        <v>46</v>
      </c>
      <c r="B79" s="194" t="s">
        <v>182</v>
      </c>
      <c r="C79" s="194"/>
      <c r="D79" s="194"/>
      <c r="E79" s="216">
        <f>'ADJ DETAIL INPUT'!E78</f>
        <v>9797</v>
      </c>
      <c r="F79" s="216">
        <f>'ADJ DETAIL INPUT'!F78</f>
        <v>0</v>
      </c>
      <c r="G79" s="216">
        <f>'ADJ DETAIL INPUT'!G78</f>
        <v>0</v>
      </c>
      <c r="H79" s="216">
        <f>'ADJ DETAIL INPUT'!H78</f>
        <v>2828</v>
      </c>
      <c r="I79" s="216">
        <f>'ADJ DETAIL INPUT'!I78</f>
        <v>0</v>
      </c>
      <c r="J79" s="216">
        <f>'ADJ DETAIL INPUT'!J78</f>
        <v>0</v>
      </c>
      <c r="K79" s="216">
        <f>'ADJ DETAIL INPUT'!K78</f>
        <v>0</v>
      </c>
      <c r="L79" s="216">
        <f>'ADJ DETAIL INPUT'!L78</f>
        <v>0</v>
      </c>
      <c r="M79" s="216">
        <f>'ADJ DETAIL INPUT'!M78</f>
        <v>0</v>
      </c>
      <c r="N79" s="216">
        <f>'ADJ DETAIL INPUT'!N78</f>
        <v>0</v>
      </c>
      <c r="O79" s="216">
        <f>'ADJ DETAIL INPUT'!O78</f>
        <v>0</v>
      </c>
      <c r="P79" s="216">
        <f>'ADJ DETAIL INPUT'!P78</f>
        <v>0</v>
      </c>
      <c r="Q79" s="216">
        <f>'ADJ DETAIL INPUT'!Q78</f>
        <v>0</v>
      </c>
      <c r="R79" s="216">
        <f>'ADJ DETAIL INPUT'!R78</f>
        <v>0</v>
      </c>
      <c r="S79" s="216">
        <f>'ADJ DETAIL INPUT'!S78</f>
        <v>0</v>
      </c>
      <c r="T79" s="216">
        <f>'ADJ DETAIL INPUT'!T78</f>
        <v>0</v>
      </c>
      <c r="U79" s="216">
        <f>'ADJ DETAIL INPUT'!U78</f>
        <v>0</v>
      </c>
      <c r="V79" s="216">
        <f>'ADJ DETAIL INPUT'!V78</f>
        <v>0</v>
      </c>
      <c r="W79" s="216">
        <f>'ADJ DETAIL INPUT'!W78</f>
        <v>0</v>
      </c>
      <c r="X79" s="216">
        <f>'ADJ DETAIL INPUT'!Y78</f>
        <v>0</v>
      </c>
      <c r="Y79" s="216">
        <f>'ADJ DETAIL INPUT'!Z78</f>
        <v>0</v>
      </c>
      <c r="Z79" s="216">
        <f>'ADJ DETAIL INPUT'!AA78</f>
        <v>0</v>
      </c>
      <c r="AA79" s="216">
        <f>'ADJ DETAIL INPUT'!AB78</f>
        <v>0</v>
      </c>
      <c r="AB79" s="216">
        <f>'ADJ DETAIL INPUT'!AC78</f>
        <v>0</v>
      </c>
      <c r="AC79" s="216">
        <f>'ADJ DETAIL INPUT'!AD78</f>
        <v>0</v>
      </c>
      <c r="AD79" s="216">
        <f>'ADJ DETAIL INPUT'!AE78</f>
        <v>0</v>
      </c>
      <c r="AE79" s="216">
        <f>'ADJ DETAIL INPUT'!AF78</f>
        <v>0</v>
      </c>
      <c r="AF79" s="216">
        <f>'ADJ DETAIL INPUT'!AG78</f>
        <v>0</v>
      </c>
      <c r="AG79" s="216">
        <f>'ADJ DETAIL INPUT'!AH78</f>
        <v>0</v>
      </c>
      <c r="AH79" s="216">
        <f>'ADJ DETAIL INPUT'!AI78</f>
        <v>0</v>
      </c>
      <c r="AI79" s="216">
        <f>'ADJ DETAIL INPUT'!AL78</f>
        <v>0</v>
      </c>
      <c r="AJ79" s="216">
        <f>'ADJ DETAIL INPUT'!AM78</f>
        <v>0</v>
      </c>
      <c r="AK79" s="216">
        <f>'ADJ DETAIL INPUT'!AN78</f>
        <v>0</v>
      </c>
      <c r="AL79" s="216">
        <f>'ADJ DETAIL INPUT'!AO78</f>
        <v>0</v>
      </c>
      <c r="AM79" s="216">
        <f>'ADJ DETAIL INPUT'!AP78</f>
        <v>0</v>
      </c>
      <c r="AN79" s="216">
        <f>'ADJ DETAIL INPUT'!AQ78</f>
        <v>0</v>
      </c>
      <c r="AO79" s="216">
        <f>'ADJ DETAIL INPUT'!AR78</f>
        <v>0</v>
      </c>
      <c r="AP79" s="216">
        <f>'ADJ DETAIL INPUT'!AT78</f>
        <v>0</v>
      </c>
    </row>
    <row r="81" spans="1:42">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row>
    <row r="82" spans="1:42" s="321" customFormat="1" ht="12" thickBot="1">
      <c r="A82" s="174">
        <v>47</v>
      </c>
      <c r="B82" s="321" t="s">
        <v>70</v>
      </c>
      <c r="E82" s="323">
        <f>E75+E76+E77+E79+E78</f>
        <v>259389</v>
      </c>
      <c r="F82" s="323">
        <f t="shared" ref="F82:AB82" si="99">F75+F76+F77+F79+F78</f>
        <v>50</v>
      </c>
      <c r="G82" s="323">
        <f t="shared" si="99"/>
        <v>0</v>
      </c>
      <c r="H82" s="323">
        <f t="shared" si="99"/>
        <v>2828</v>
      </c>
      <c r="I82" s="323">
        <f t="shared" si="99"/>
        <v>0</v>
      </c>
      <c r="J82" s="323">
        <f t="shared" si="99"/>
        <v>0</v>
      </c>
      <c r="K82" s="323">
        <f t="shared" si="99"/>
        <v>0</v>
      </c>
      <c r="L82" s="323">
        <f t="shared" si="99"/>
        <v>0</v>
      </c>
      <c r="M82" s="323">
        <f t="shared" si="99"/>
        <v>0</v>
      </c>
      <c r="N82" s="323">
        <f t="shared" si="99"/>
        <v>0</v>
      </c>
      <c r="O82" s="323">
        <f t="shared" si="99"/>
        <v>0</v>
      </c>
      <c r="P82" s="323">
        <f t="shared" si="99"/>
        <v>0</v>
      </c>
      <c r="Q82" s="323">
        <f t="shared" si="99"/>
        <v>0</v>
      </c>
      <c r="R82" s="323">
        <f t="shared" si="99"/>
        <v>0</v>
      </c>
      <c r="S82" s="323">
        <f t="shared" ref="S82" si="100">S75+S76+S77+S79+S78</f>
        <v>0</v>
      </c>
      <c r="T82" s="323">
        <f t="shared" si="99"/>
        <v>0</v>
      </c>
      <c r="U82" s="323">
        <f>U75+U76+U77+U79+U78</f>
        <v>0</v>
      </c>
      <c r="V82" s="323">
        <f t="shared" si="99"/>
        <v>0</v>
      </c>
      <c r="W82" s="323">
        <f t="shared" ref="W82" si="101">W75+W76+W77+W79+W78</f>
        <v>0</v>
      </c>
      <c r="X82" s="323">
        <f t="shared" si="99"/>
        <v>0</v>
      </c>
      <c r="Y82" s="323">
        <f t="shared" ref="Y82" si="102">Y75+Y76+Y77+Y79+Y78</f>
        <v>0</v>
      </c>
      <c r="Z82" s="323">
        <f t="shared" si="99"/>
        <v>0</v>
      </c>
      <c r="AA82" s="323">
        <f>AA75+AA76+AA77+AA79+AA78</f>
        <v>0</v>
      </c>
      <c r="AB82" s="323">
        <f t="shared" si="99"/>
        <v>0</v>
      </c>
      <c r="AC82" s="323">
        <f t="shared" ref="AC82:AP82" si="103">AC75+AC76+AC77+AC79+AC78</f>
        <v>0</v>
      </c>
      <c r="AD82" s="323">
        <f>AD75+AD76+AD77+AD79+AD78</f>
        <v>0</v>
      </c>
      <c r="AE82" s="323">
        <f t="shared" si="103"/>
        <v>0</v>
      </c>
      <c r="AF82" s="323">
        <f t="shared" si="103"/>
        <v>9640</v>
      </c>
      <c r="AG82" s="323">
        <f t="shared" si="103"/>
        <v>7488</v>
      </c>
      <c r="AH82" s="323">
        <f t="shared" si="103"/>
        <v>0</v>
      </c>
      <c r="AI82" s="323">
        <f t="shared" ref="AI82" si="104">AI75+AI76+AI77+AI79+AI78</f>
        <v>0</v>
      </c>
      <c r="AJ82" s="323">
        <f t="shared" si="103"/>
        <v>0</v>
      </c>
      <c r="AK82" s="323">
        <f t="shared" si="103"/>
        <v>0</v>
      </c>
      <c r="AL82" s="323">
        <f t="shared" si="103"/>
        <v>0</v>
      </c>
      <c r="AM82" s="323">
        <f t="shared" ref="AM82" si="105">AM75+AM76+AM77+AM79+AM78</f>
        <v>0</v>
      </c>
      <c r="AN82" s="323">
        <f t="shared" si="103"/>
        <v>0</v>
      </c>
      <c r="AO82" s="323">
        <f t="shared" ref="AO82" si="106">AO75+AO76+AO77+AO79+AO78</f>
        <v>0</v>
      </c>
      <c r="AP82" s="323">
        <f t="shared" si="103"/>
        <v>0</v>
      </c>
    </row>
    <row r="83" spans="1:42" ht="18" customHeight="1" thickTop="1">
      <c r="E83" s="277"/>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row>
    <row r="84" spans="1:42">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row>
    <row r="85" spans="1:42">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P85" s="215"/>
    </row>
    <row r="86" spans="1:42" s="199" customFormat="1">
      <c r="A86" s="198"/>
      <c r="D86" s="200"/>
      <c r="E86" s="326"/>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c r="AP86" s="217"/>
    </row>
    <row r="87" spans="1:42" s="199" customFormat="1">
      <c r="A87" s="202"/>
      <c r="D87" s="200"/>
      <c r="E87" s="325"/>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row>
    <row r="88" spans="1:42" s="199" customFormat="1">
      <c r="A88" s="202"/>
      <c r="D88" s="200"/>
      <c r="E88" s="220"/>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row>
    <row r="89" spans="1:42" s="199" customFormat="1">
      <c r="A89" s="202"/>
      <c r="D89" s="20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row>
    <row r="90" spans="1:42" s="199" customFormat="1">
      <c r="A90" s="202"/>
      <c r="D90" s="20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row>
    <row r="91" spans="1:42" s="199" customFormat="1">
      <c r="A91" s="202"/>
      <c r="D91" s="200"/>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row>
    <row r="92" spans="1:42" s="199" customFormat="1">
      <c r="A92" s="198"/>
      <c r="D92" s="200"/>
      <c r="E92" s="201"/>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row>
    <row r="93" spans="1:42" s="199" customFormat="1">
      <c r="A93" s="202"/>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row>
    <row r="94" spans="1:42" s="199" customFormat="1">
      <c r="A94" s="202"/>
      <c r="D94" s="200"/>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row>
    <row r="95" spans="1:42" s="199" customFormat="1">
      <c r="A95" s="202"/>
      <c r="D95" s="200"/>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row>
    <row r="96" spans="1:42" s="199" customFormat="1">
      <c r="A96" s="202"/>
      <c r="D96" s="203"/>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row>
    <row r="97" spans="1:42" s="199" customFormat="1">
      <c r="A97" s="202"/>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row>
    <row r="98" spans="1:42" s="199" customFormat="1">
      <c r="A98" s="202"/>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row>
  </sheetData>
  <pageMargins left="0.75" right="0.5" top="0.72" bottom="0.84" header="0.5" footer="0.5"/>
  <pageSetup scale="68" firstPageNumber="4" fitToWidth="2" orientation="portrait" r:id="rId1"/>
  <headerFooter scaleWithDoc="0" alignWithMargins="0"/>
  <colBreaks count="37" manualBreakCount="37">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30" max="1048575" man="1"/>
    <brk id="29"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81"/>
  <sheetViews>
    <sheetView topLeftCell="A46" zoomScaleNormal="100" zoomScaleSheetLayoutView="115" workbookViewId="0">
      <selection activeCell="M60" sqref="M60"/>
    </sheetView>
  </sheetViews>
  <sheetFormatPr defaultColWidth="11.453125" defaultRowHeight="13"/>
  <cols>
    <col min="1" max="1" width="6.453125" style="36" customWidth="1"/>
    <col min="2" max="2" width="10.26953125" style="273" customWidth="1"/>
    <col min="3" max="3" width="41.81640625" style="36" customWidth="1"/>
    <col min="4" max="5" width="11.453125" style="36" customWidth="1"/>
    <col min="6" max="6" width="7.7265625" style="353" customWidth="1"/>
    <col min="7" max="7" width="7.26953125" style="352" hidden="1" customWidth="1"/>
    <col min="8" max="8" width="10.54296875" style="353" hidden="1" customWidth="1"/>
    <col min="9" max="9" width="7.26953125" style="546" bestFit="1" customWidth="1"/>
    <col min="10" max="10" width="8.453125" style="550" bestFit="1" customWidth="1"/>
    <col min="11" max="11" width="9" style="36" customWidth="1"/>
    <col min="12" max="12" width="11.453125" style="36" customWidth="1"/>
    <col min="13" max="16384" width="11.453125" style="36"/>
  </cols>
  <sheetData>
    <row r="1" spans="1:15">
      <c r="A1" s="940" t="str">
        <f>'ADJ DETAIL INPUT'!A1</f>
        <v>AVISTA UTILITIES</v>
      </c>
      <c r="B1" s="940"/>
      <c r="C1" s="940"/>
      <c r="D1" s="940"/>
      <c r="E1" s="940"/>
      <c r="F1" s="940"/>
      <c r="G1" s="140"/>
      <c r="H1" s="36"/>
      <c r="I1" s="545"/>
      <c r="K1" s="127"/>
      <c r="L1" s="48"/>
    </row>
    <row r="2" spans="1:15">
      <c r="A2" s="956" t="s">
        <v>71</v>
      </c>
      <c r="B2" s="956"/>
      <c r="C2" s="956"/>
      <c r="D2" s="956"/>
      <c r="E2" s="956"/>
      <c r="F2" s="956"/>
      <c r="G2" s="140"/>
      <c r="H2" s="36"/>
      <c r="K2" s="127"/>
      <c r="L2" s="47"/>
    </row>
    <row r="3" spans="1:15" s="47" customFormat="1">
      <c r="A3" s="955" t="s">
        <v>153</v>
      </c>
      <c r="B3" s="955"/>
      <c r="C3" s="955"/>
      <c r="D3" s="955"/>
      <c r="E3" s="955"/>
      <c r="F3" s="955"/>
      <c r="G3" s="352"/>
      <c r="H3" s="353"/>
      <c r="I3" s="547"/>
      <c r="J3" s="551"/>
      <c r="K3" s="49"/>
      <c r="L3" s="50"/>
    </row>
    <row r="4" spans="1:15" s="47" customFormat="1">
      <c r="A4" s="955" t="str">
        <f>ROO!A4</f>
        <v>TWELVE MONTHS ENDED SEPTEMBER 30, 2015</v>
      </c>
      <c r="B4" s="955"/>
      <c r="C4" s="955"/>
      <c r="D4" s="955"/>
      <c r="E4" s="955"/>
      <c r="F4" s="955"/>
      <c r="G4" s="352"/>
      <c r="H4" s="353"/>
      <c r="I4" s="547"/>
      <c r="J4" s="551"/>
      <c r="K4" s="49"/>
      <c r="L4" s="50"/>
    </row>
    <row r="5" spans="1:15" s="47" customFormat="1">
      <c r="A5" s="36"/>
      <c r="B5" s="273"/>
      <c r="C5" s="36"/>
      <c r="D5" s="355"/>
      <c r="E5" s="355" t="s">
        <v>71</v>
      </c>
      <c r="F5" s="353"/>
      <c r="G5" s="352"/>
      <c r="H5" s="353"/>
      <c r="I5" s="547"/>
      <c r="J5" s="551"/>
      <c r="K5" s="49"/>
      <c r="L5" s="51"/>
    </row>
    <row r="6" spans="1:15">
      <c r="A6" s="355" t="s">
        <v>72</v>
      </c>
      <c r="B6" s="355" t="s">
        <v>243</v>
      </c>
      <c r="C6" s="355" t="s">
        <v>73</v>
      </c>
      <c r="D6" s="355" t="s">
        <v>74</v>
      </c>
      <c r="E6" s="355" t="s">
        <v>20</v>
      </c>
      <c r="F6" s="60" t="s">
        <v>75</v>
      </c>
      <c r="G6" s="151" t="s">
        <v>124</v>
      </c>
      <c r="H6" s="355" t="s">
        <v>125</v>
      </c>
      <c r="I6" s="548" t="s">
        <v>187</v>
      </c>
      <c r="J6" s="552" t="s">
        <v>188</v>
      </c>
      <c r="K6" s="349" t="s">
        <v>433</v>
      </c>
      <c r="L6" s="354"/>
    </row>
    <row r="7" spans="1:15">
      <c r="A7" s="497" t="s">
        <v>509</v>
      </c>
      <c r="B7" s="354"/>
      <c r="C7" s="354"/>
      <c r="D7" s="354"/>
      <c r="E7" s="354"/>
      <c r="F7" s="354"/>
      <c r="G7" s="345"/>
      <c r="H7" s="354"/>
      <c r="I7" s="547"/>
      <c r="J7" s="551"/>
      <c r="K7" s="47"/>
      <c r="L7" s="354"/>
    </row>
    <row r="8" spans="1:15">
      <c r="A8" s="405">
        <f>'ADJ DETAIL INPUT'!E$10</f>
        <v>1</v>
      </c>
      <c r="B8" s="275" t="str">
        <f>'ADJ DETAIL INPUT'!E$11</f>
        <v>G-ROO</v>
      </c>
      <c r="C8" s="56" t="str">
        <f>TRIM(CONCATENATE('ADJ DETAIL INPUT'!E$7," ",'ADJ DETAIL INPUT'!E$8," ",'ADJ DETAIL INPUT'!E$9))</f>
        <v>Per Results Report</v>
      </c>
      <c r="D8" s="57">
        <f>'ADJ DETAIL INPUT'!E$58</f>
        <v>14549</v>
      </c>
      <c r="E8" s="57">
        <f>'ADJ DETAIL INPUT'!E$81</f>
        <v>259389</v>
      </c>
      <c r="G8" s="352" t="s">
        <v>178</v>
      </c>
      <c r="I8" s="546" t="s">
        <v>134</v>
      </c>
      <c r="K8" s="492" t="s">
        <v>126</v>
      </c>
      <c r="L8" s="119"/>
      <c r="M8" s="496"/>
      <c r="N8" s="496"/>
      <c r="O8" s="496"/>
    </row>
    <row r="9" spans="1:15">
      <c r="A9" s="405">
        <f>'ADJ DETAIL INPUT'!F$10</f>
        <v>1.01</v>
      </c>
      <c r="B9" s="275" t="str">
        <f>'ADJ DETAIL INPUT'!F$11</f>
        <v>G-DFIT</v>
      </c>
      <c r="C9" s="56" t="str">
        <f>TRIM(CONCATENATE('ADJ DETAIL INPUT'!F$7," ",'ADJ DETAIL INPUT'!F$8," ",'ADJ DETAIL INPUT'!F$9))</f>
        <v>Deferred FIT Rate Base</v>
      </c>
      <c r="D9" s="156">
        <f>'ADJ DETAIL INPUT'!F$58</f>
        <v>0.49679182</v>
      </c>
      <c r="E9" s="156">
        <f>'ADJ DETAIL INPUT'!F$81</f>
        <v>50</v>
      </c>
      <c r="G9" s="352" t="s">
        <v>130</v>
      </c>
      <c r="H9" s="36"/>
      <c r="I9" s="546" t="s">
        <v>134</v>
      </c>
      <c r="K9" s="492" t="s">
        <v>126</v>
      </c>
      <c r="L9" s="119"/>
      <c r="M9" s="496"/>
      <c r="N9" s="496"/>
      <c r="O9" s="496"/>
    </row>
    <row r="10" spans="1:15">
      <c r="A10" s="405">
        <f>'ADJ DETAIL INPUT'!G$10</f>
        <v>1.02</v>
      </c>
      <c r="B10" s="275" t="str">
        <f>'ADJ DETAIL INPUT'!G$11</f>
        <v>G-DDC</v>
      </c>
      <c r="C10" s="56" t="str">
        <f>TRIM(CONCATENATE('ADJ DETAIL INPUT'!G$7," ",'ADJ DETAIL INPUT'!G$8," ",'ADJ DETAIL INPUT'!G$9))</f>
        <v>Deferred Debits and Credits</v>
      </c>
      <c r="D10" s="156">
        <f>'ADJ DETAIL INPUT'!G$58</f>
        <v>-0.65</v>
      </c>
      <c r="E10" s="156">
        <f>'ADJ DETAIL INPUT'!G$81</f>
        <v>0</v>
      </c>
      <c r="G10" s="352" t="s">
        <v>178</v>
      </c>
      <c r="I10" s="546" t="s">
        <v>454</v>
      </c>
      <c r="K10" s="492" t="s">
        <v>126</v>
      </c>
      <c r="L10" s="119"/>
      <c r="M10" s="496"/>
      <c r="N10" s="496"/>
      <c r="O10" s="496"/>
    </row>
    <row r="11" spans="1:15">
      <c r="A11" s="405">
        <f>'ADJ DETAIL INPUT'!H$10</f>
        <v>1.03</v>
      </c>
      <c r="B11" s="275" t="str">
        <f>'ADJ DETAIL INPUT'!H$11</f>
        <v>G-WC</v>
      </c>
      <c r="C11" s="56" t="str">
        <f>TRIM(CONCATENATE('ADJ DETAIL INPUT'!H$7," ",'ADJ DETAIL INPUT'!H$8," ",'ADJ DETAIL INPUT'!H$9))</f>
        <v>Working Capital</v>
      </c>
      <c r="D11" s="156">
        <f>'ADJ DETAIL INPUT'!H$58</f>
        <v>28.098545339199998</v>
      </c>
      <c r="E11" s="156">
        <f>'ADJ DETAIL INPUT'!H$81</f>
        <v>2828</v>
      </c>
      <c r="G11" s="352" t="s">
        <v>178</v>
      </c>
      <c r="I11" s="546" t="s">
        <v>134</v>
      </c>
      <c r="K11" s="492" t="s">
        <v>126</v>
      </c>
      <c r="L11" s="50"/>
    </row>
    <row r="12" spans="1:15">
      <c r="A12" s="405">
        <f>'ADJ DETAIL INPUT'!I$10</f>
        <v>2.0099999999999998</v>
      </c>
      <c r="B12" s="275" t="str">
        <f>'ADJ DETAIL INPUT'!I$11</f>
        <v>G-EBO</v>
      </c>
      <c r="C12" s="56" t="str">
        <f>TRIM(CONCATENATE('ADJ DETAIL INPUT'!I$7," ",'ADJ DETAIL INPUT'!I$8," ",'ADJ DETAIL INPUT'!I$9))</f>
        <v>Eliminate B &amp; O Taxes</v>
      </c>
      <c r="D12" s="156">
        <f>'ADJ DETAIL INPUT'!I$58</f>
        <v>-9.1000000000000014</v>
      </c>
      <c r="E12" s="156">
        <f>'ADJ DETAIL INPUT'!I$81</f>
        <v>0</v>
      </c>
      <c r="G12" s="352" t="s">
        <v>178</v>
      </c>
      <c r="I12" s="546" t="s">
        <v>454</v>
      </c>
      <c r="K12" s="492" t="s">
        <v>126</v>
      </c>
      <c r="L12" s="50"/>
    </row>
    <row r="13" spans="1:15">
      <c r="A13" s="405">
        <f>'ADJ DETAIL INPUT'!J$10</f>
        <v>2.0199999999999996</v>
      </c>
      <c r="B13" s="275" t="str">
        <f>'ADJ DETAIL INPUT'!J$11</f>
        <v>G-RPT</v>
      </c>
      <c r="C13" s="56" t="str">
        <f>TRIM(CONCATENATE('ADJ DETAIL INPUT'!J$7," ",'ADJ DETAIL INPUT'!J$8," ",'ADJ DETAIL INPUT'!J$9))</f>
        <v>Restate Property Tax</v>
      </c>
      <c r="D13" s="156">
        <f>'ADJ DETAIL INPUT'!J$58</f>
        <v>228.15</v>
      </c>
      <c r="E13" s="156">
        <f>'ADJ DETAIL INPUT'!J$81</f>
        <v>0</v>
      </c>
      <c r="G13" s="352" t="s">
        <v>178</v>
      </c>
      <c r="I13" s="546" t="s">
        <v>454</v>
      </c>
      <c r="K13" s="492" t="s">
        <v>126</v>
      </c>
      <c r="L13" s="50"/>
    </row>
    <row r="14" spans="1:15">
      <c r="A14" s="405">
        <f>'ADJ DETAIL INPUT'!K$10</f>
        <v>2.0299999999999994</v>
      </c>
      <c r="B14" s="275" t="str">
        <f>'ADJ DETAIL INPUT'!K$11</f>
        <v>G-UE</v>
      </c>
      <c r="C14" s="56" t="str">
        <f>TRIM(CONCATENATE('ADJ DETAIL INPUT'!K$7," ",'ADJ DETAIL INPUT'!K$8," ",'ADJ DETAIL INPUT'!K$9))</f>
        <v>Uncollectible Expense</v>
      </c>
      <c r="D14" s="156">
        <f>'ADJ DETAIL INPUT'!K$58</f>
        <v>203.45</v>
      </c>
      <c r="E14" s="156">
        <f>'ADJ DETAIL INPUT'!K$81</f>
        <v>0</v>
      </c>
      <c r="G14" s="352" t="s">
        <v>178</v>
      </c>
      <c r="I14" s="546" t="s">
        <v>456</v>
      </c>
      <c r="K14" s="492" t="s">
        <v>126</v>
      </c>
      <c r="L14" s="50"/>
    </row>
    <row r="15" spans="1:15">
      <c r="A15" s="405">
        <f>'ADJ DETAIL INPUT'!L$10</f>
        <v>2.0399999999999991</v>
      </c>
      <c r="B15" s="275" t="str">
        <f>'ADJ DETAIL INPUT'!L$11</f>
        <v>G-RE</v>
      </c>
      <c r="C15" s="56" t="str">
        <f>TRIM(CONCATENATE('ADJ DETAIL INPUT'!L$7," ",'ADJ DETAIL INPUT'!L$8," ",'ADJ DETAIL INPUT'!L$9))</f>
        <v>Regulatory Expense</v>
      </c>
      <c r="D15" s="156">
        <f>'ADJ DETAIL INPUT'!L$58</f>
        <v>7.8000000000000007</v>
      </c>
      <c r="E15" s="156">
        <f>'ADJ DETAIL INPUT'!L$81</f>
        <v>0</v>
      </c>
      <c r="G15" s="352" t="s">
        <v>169</v>
      </c>
      <c r="I15" s="546" t="s">
        <v>454</v>
      </c>
      <c r="K15" s="492" t="s">
        <v>126</v>
      </c>
      <c r="L15" s="50"/>
    </row>
    <row r="16" spans="1:15">
      <c r="A16" s="405">
        <f>'ADJ DETAIL INPUT'!M$10</f>
        <v>2.0499999999999989</v>
      </c>
      <c r="B16" s="275" t="str">
        <f>'ADJ DETAIL INPUT'!M$11</f>
        <v>G-ID</v>
      </c>
      <c r="C16" s="56" t="str">
        <f>TRIM(CONCATENATE('ADJ DETAIL INPUT'!M$7," ",'ADJ DETAIL INPUT'!M$8," ",'ADJ DETAIL INPUT'!M$9))</f>
        <v>Injuries and Damages</v>
      </c>
      <c r="D16" s="156">
        <f>'ADJ DETAIL INPUT'!M$58</f>
        <v>-150.15</v>
      </c>
      <c r="E16" s="156">
        <f>'ADJ DETAIL INPUT'!M$81</f>
        <v>0</v>
      </c>
      <c r="G16" s="352" t="s">
        <v>169</v>
      </c>
      <c r="I16" s="546" t="s">
        <v>454</v>
      </c>
      <c r="K16" s="492" t="s">
        <v>126</v>
      </c>
      <c r="L16" s="50"/>
    </row>
    <row r="17" spans="1:12">
      <c r="A17" s="405">
        <f>'ADJ DETAIL INPUT'!N$10</f>
        <v>2.0599999999999987</v>
      </c>
      <c r="B17" s="275" t="str">
        <f>'ADJ DETAIL INPUT'!N$11</f>
        <v>G-FIT</v>
      </c>
      <c r="C17" s="56" t="str">
        <f>TRIM(CONCATENATE('ADJ DETAIL INPUT'!N$7," ",'ADJ DETAIL INPUT'!N$8," ",'ADJ DETAIL INPUT'!N$9))</f>
        <v>FIT / DFIT Expense</v>
      </c>
      <c r="D17" s="406">
        <f>'ADJ DETAIL INPUT'!N$58</f>
        <v>223</v>
      </c>
      <c r="E17" s="156">
        <f>'ADJ DETAIL INPUT'!N$81</f>
        <v>0</v>
      </c>
      <c r="G17" s="352" t="s">
        <v>130</v>
      </c>
      <c r="H17" s="36"/>
      <c r="I17" s="546" t="s">
        <v>134</v>
      </c>
      <c r="K17" s="492" t="s">
        <v>126</v>
      </c>
      <c r="L17" s="50"/>
    </row>
    <row r="18" spans="1:12">
      <c r="A18" s="405">
        <f>'ADJ DETAIL INPUT'!O$10</f>
        <v>2.0699999999999985</v>
      </c>
      <c r="B18" s="275" t="str">
        <f>'ADJ DETAIL INPUT'!O$11</f>
        <v>G-OSC</v>
      </c>
      <c r="C18" s="56" t="str">
        <f>TRIM(CONCATENATE('ADJ DETAIL INPUT'!O$7," ",'ADJ DETAIL INPUT'!O$8," ",'ADJ DETAIL INPUT'!O$9))</f>
        <v>Office Space Charges to Subs</v>
      </c>
      <c r="D18" s="156">
        <f>'ADJ DETAIL INPUT'!O$58</f>
        <v>5.85</v>
      </c>
      <c r="E18" s="156">
        <f>'ADJ DETAIL INPUT'!O$81</f>
        <v>0</v>
      </c>
      <c r="G18" s="352" t="s">
        <v>178</v>
      </c>
      <c r="H18" s="36"/>
      <c r="I18" s="546" t="s">
        <v>456</v>
      </c>
      <c r="K18" s="492" t="s">
        <v>126</v>
      </c>
      <c r="L18" s="50"/>
    </row>
    <row r="19" spans="1:12">
      <c r="A19" s="405">
        <f>'ADJ DETAIL INPUT'!P$10</f>
        <v>2.0799999999999983</v>
      </c>
      <c r="B19" s="275" t="str">
        <f>'ADJ DETAIL INPUT'!P$11</f>
        <v>G-RET</v>
      </c>
      <c r="C19" s="56" t="str">
        <f>TRIM(CONCATENATE('ADJ DETAIL INPUT'!P$7," ",'ADJ DETAIL INPUT'!P$8," ",'ADJ DETAIL INPUT'!P$9))</f>
        <v>Restate Excise Taxes</v>
      </c>
      <c r="D19" s="156">
        <f>'ADJ DETAIL INPUT'!P$58</f>
        <v>3.25</v>
      </c>
      <c r="E19" s="156">
        <f>'ADJ DETAIL INPUT'!P$81</f>
        <v>0</v>
      </c>
      <c r="G19" s="352" t="s">
        <v>178</v>
      </c>
      <c r="H19" s="36"/>
      <c r="I19" s="546" t="s">
        <v>454</v>
      </c>
      <c r="K19" s="492" t="s">
        <v>126</v>
      </c>
      <c r="L19" s="50"/>
    </row>
    <row r="20" spans="1:12">
      <c r="A20" s="405">
        <f>'ADJ DETAIL INPUT'!Q$10</f>
        <v>2.0899999999999981</v>
      </c>
      <c r="B20" s="275" t="str">
        <f>'ADJ DETAIL INPUT'!Q$11</f>
        <v>G-NGL</v>
      </c>
      <c r="C20" s="56" t="str">
        <f>TRIM(CONCATENATE('ADJ DETAIL INPUT'!Q$7," ",'ADJ DETAIL INPUT'!Q$8," ",'ADJ DETAIL INPUT'!Q$9))</f>
        <v>Net Gains/Losses</v>
      </c>
      <c r="D20" s="156">
        <f>'ADJ DETAIL INPUT'!Q$58</f>
        <v>3.9000000000000004</v>
      </c>
      <c r="E20" s="156">
        <f>'ADJ DETAIL INPUT'!Q$81</f>
        <v>0</v>
      </c>
      <c r="G20" s="352" t="s">
        <v>169</v>
      </c>
      <c r="I20" s="546" t="s">
        <v>454</v>
      </c>
      <c r="K20" s="492" t="s">
        <v>126</v>
      </c>
      <c r="L20" s="50"/>
    </row>
    <row r="21" spans="1:12">
      <c r="A21" s="405">
        <f>'ADJ DETAIL INPUT'!R$10</f>
        <v>2.0999999999999979</v>
      </c>
      <c r="B21" s="275" t="str">
        <f>'ADJ DETAIL INPUT'!R$11</f>
        <v>G-WNGC</v>
      </c>
      <c r="C21" s="56" t="str">
        <f>TRIM(CONCATENATE('ADJ DETAIL INPUT'!R$7," ",'ADJ DETAIL INPUT'!R$8," ",'ADJ DETAIL INPUT'!R$9))</f>
        <v>Weather Normalization / Gas Cost Adjust</v>
      </c>
      <c r="D21" s="156">
        <f>'ADJ DETAIL INPUT'!R$58</f>
        <v>1154.4000000000001</v>
      </c>
      <c r="E21" s="156">
        <f>'ADJ DETAIL INPUT'!R$81</f>
        <v>0</v>
      </c>
      <c r="G21" s="352" t="s">
        <v>181</v>
      </c>
      <c r="H21" s="36"/>
      <c r="I21" s="546" t="s">
        <v>482</v>
      </c>
      <c r="K21" s="492" t="s">
        <v>126</v>
      </c>
      <c r="L21" s="50"/>
    </row>
    <row r="22" spans="1:12" s="438" customFormat="1">
      <c r="A22" s="451">
        <f>'ADJ DETAIL INPUT'!S$10</f>
        <v>2.1099999999999977</v>
      </c>
      <c r="B22" s="452" t="str">
        <f>'ADJ DETAIL INPUT'!S$11</f>
        <v>G-EAS</v>
      </c>
      <c r="C22" s="444" t="str">
        <f>TRIM(CONCATENATE('ADJ DETAIL INPUT'!S$7," ",'ADJ DETAIL INPUT'!S$8," ",'ADJ DETAIL INPUT'!S$9))</f>
        <v>Eliminate Adder Schedules</v>
      </c>
      <c r="D22" s="445">
        <f>'ADJ DETAIL INPUT'!S$58</f>
        <v>0</v>
      </c>
      <c r="E22" s="445">
        <f>'ADJ DETAIL INPUT'!S$81</f>
        <v>0</v>
      </c>
      <c r="F22" s="441"/>
      <c r="G22" s="439" t="s">
        <v>181</v>
      </c>
      <c r="I22" s="546" t="s">
        <v>482</v>
      </c>
      <c r="J22" s="550"/>
      <c r="K22" s="492" t="s">
        <v>126</v>
      </c>
      <c r="L22" s="443"/>
    </row>
    <row r="23" spans="1:12" s="120" customFormat="1">
      <c r="A23" s="405">
        <f>'ADJ DETAIL INPUT'!T$10</f>
        <v>2.1199999999999974</v>
      </c>
      <c r="B23" s="275" t="str">
        <f>'ADJ DETAIL INPUT'!T$11</f>
        <v>G-MR</v>
      </c>
      <c r="C23" s="407" t="str">
        <f>TRIM(CONCATENATE('ADJ DETAIL INPUT'!T$7," ",'ADJ DETAIL INPUT'!T$8," ",'ADJ DETAIL INPUT'!T$9))</f>
        <v>Misc Restating Adjustments</v>
      </c>
      <c r="D23" s="406">
        <f>'ADJ DETAIL INPUT'!T$58</f>
        <v>144.30000000000001</v>
      </c>
      <c r="E23" s="406">
        <f>'ADJ DETAIL INPUT'!T$81</f>
        <v>0</v>
      </c>
      <c r="F23" s="58"/>
      <c r="G23" s="352" t="s">
        <v>180</v>
      </c>
      <c r="H23" s="353"/>
      <c r="I23" s="546" t="s">
        <v>454</v>
      </c>
      <c r="J23" s="550"/>
      <c r="K23" s="492" t="s">
        <v>126</v>
      </c>
      <c r="L23" s="119"/>
    </row>
    <row r="24" spans="1:12" s="120" customFormat="1" ht="13.5" customHeight="1">
      <c r="A24" s="405">
        <f>'ADJ DETAIL INPUT'!U$10</f>
        <v>2.1299999999999972</v>
      </c>
      <c r="B24" s="275" t="str">
        <f>'ADJ DETAIL INPUT'!U$11</f>
        <v>G-DI</v>
      </c>
      <c r="C24" s="407" t="str">
        <f>TRIM(CONCATENATE('ADJ DETAIL INPUT'!U$7," ",'ADJ DETAIL INPUT'!U$8," ",'ADJ DETAIL INPUT'!U$9))</f>
        <v>Restate Debt Interest</v>
      </c>
      <c r="D24" s="406">
        <f>'ADJ DETAIL INPUT'!U$58</f>
        <v>85</v>
      </c>
      <c r="E24" s="406">
        <f>'ADJ DETAIL INPUT'!U$81</f>
        <v>0</v>
      </c>
      <c r="F24" s="58"/>
      <c r="G24" s="152"/>
      <c r="H24" s="58" t="s">
        <v>126</v>
      </c>
      <c r="I24" s="562" t="s">
        <v>126</v>
      </c>
      <c r="J24" s="550"/>
      <c r="K24" s="492" t="s">
        <v>126</v>
      </c>
    </row>
    <row r="25" spans="1:12" s="120" customFormat="1" ht="14.25" customHeight="1">
      <c r="A25" s="405">
        <f>'ADJ DETAIL INPUT'!V$10</f>
        <v>2.139999999999997</v>
      </c>
      <c r="B25" s="275" t="str">
        <f>'ADJ DETAIL INPUT'!V$11</f>
        <v>G-RI</v>
      </c>
      <c r="C25" s="407" t="str">
        <f>TRIM(CONCATENATE('ADJ DETAIL INPUT'!V$7," ",'ADJ DETAIL INPUT'!V$8," ",'ADJ DETAIL INPUT'!V$9))</f>
        <v>Restating Incentive Adjustment</v>
      </c>
      <c r="D25" s="406">
        <f>'ADJ DETAIL INPUT'!V$58</f>
        <v>-87.1</v>
      </c>
      <c r="E25" s="406">
        <f>'ADJ DETAIL INPUT'!V$81</f>
        <v>0</v>
      </c>
      <c r="F25" s="58"/>
      <c r="G25" s="152"/>
      <c r="H25" s="58"/>
      <c r="I25" s="546" t="s">
        <v>246</v>
      </c>
      <c r="J25" s="550"/>
      <c r="K25" s="492" t="s">
        <v>126</v>
      </c>
      <c r="L25" s="119"/>
    </row>
    <row r="26" spans="1:12" ht="13.5" customHeight="1">
      <c r="A26" s="405">
        <f>'ADJ DETAIL INPUT'!W$10</f>
        <v>2.1499999999999968</v>
      </c>
      <c r="B26" s="275" t="str">
        <f>'ADJ DETAIL INPUT'!W$11</f>
        <v>G-CD</v>
      </c>
      <c r="C26" s="56" t="str">
        <f>TRIM(CONCATENATE('ADJ DETAIL INPUT'!W$7," ",'ADJ DETAIL INPUT'!W$8," ",'ADJ DETAIL INPUT'!W$9))</f>
        <v>Project Compass Deferral</v>
      </c>
      <c r="D26" s="156">
        <f>'ADJ DETAIL INPUT'!W$58</f>
        <v>978.25</v>
      </c>
      <c r="E26" s="156">
        <f>'ADJ DETAIL INPUT'!W$81</f>
        <v>0</v>
      </c>
      <c r="G26" s="352" t="s">
        <v>178</v>
      </c>
      <c r="H26" s="36"/>
      <c r="I26" s="546" t="s">
        <v>482</v>
      </c>
      <c r="K26" s="492" t="s">
        <v>126</v>
      </c>
      <c r="L26" s="50"/>
    </row>
    <row r="27" spans="1:12" ht="13.5" customHeight="1">
      <c r="A27" s="405"/>
      <c r="B27" s="275"/>
      <c r="C27" s="56"/>
      <c r="D27" s="156"/>
      <c r="E27" s="156"/>
      <c r="K27" s="47"/>
      <c r="L27" s="50"/>
    </row>
    <row r="28" spans="1:12" ht="13.5" thickBot="1">
      <c r="A28" s="213"/>
      <c r="B28" s="274"/>
      <c r="C28" s="36" t="s">
        <v>77</v>
      </c>
      <c r="D28" s="59">
        <f>SUM(D8:D27)</f>
        <v>17367.945337159203</v>
      </c>
      <c r="E28" s="59">
        <f>SUM(E8:E27)</f>
        <v>262267</v>
      </c>
      <c r="F28" s="351"/>
      <c r="H28" s="408" t="str">
        <f>'ADJ DETAIL INPUT'!X82</f>
        <v>(1)</v>
      </c>
      <c r="J28" s="551"/>
      <c r="K28" s="47"/>
      <c r="L28" s="50"/>
    </row>
    <row r="29" spans="1:12" ht="13.5" customHeight="1" thickTop="1">
      <c r="A29" s="155" t="s">
        <v>448</v>
      </c>
      <c r="B29" s="275"/>
      <c r="D29" s="56"/>
      <c r="H29" s="36"/>
      <c r="J29" s="551"/>
      <c r="K29" s="47"/>
      <c r="L29" s="50"/>
    </row>
    <row r="30" spans="1:12">
      <c r="A30" s="405">
        <f>'ADJ DETAIL INPUT'!Y$10</f>
        <v>3</v>
      </c>
      <c r="B30" s="275" t="str">
        <f>'ADJ DETAIL INPUT'!Y$11</f>
        <v>G-PLN</v>
      </c>
      <c r="C30" s="56" t="str">
        <f>TRIM(CONCATENATE('ADJ DETAIL INPUT'!Y$7," ",'ADJ DETAIL INPUT'!Y$8," ",'ADJ DETAIL INPUT'!Y$9))</f>
        <v>Pro Forma Labor Non-Exec</v>
      </c>
      <c r="D30" s="156">
        <f>'ADJ DETAIL INPUT'!Y$58</f>
        <v>-418.68450000000001</v>
      </c>
      <c r="E30" s="156">
        <f>'ADJ DETAIL INPUT'!Y$81</f>
        <v>0</v>
      </c>
      <c r="G30" s="352" t="s">
        <v>169</v>
      </c>
      <c r="I30" s="546" t="s">
        <v>246</v>
      </c>
      <c r="K30" s="492" t="s">
        <v>126</v>
      </c>
      <c r="L30" s="50"/>
    </row>
    <row r="31" spans="1:12" ht="13.5" customHeight="1">
      <c r="A31" s="405">
        <f>'ADJ DETAIL INPUT'!Z$10</f>
        <v>3.01</v>
      </c>
      <c r="B31" s="275" t="str">
        <f>'ADJ DETAIL INPUT'!Z$11</f>
        <v>G-PLE</v>
      </c>
      <c r="C31" s="56" t="str">
        <f>TRIM(CONCATENATE('ADJ DETAIL INPUT'!Z$7," ",'ADJ DETAIL INPUT'!Z$8," ",'ADJ DETAIL INPUT'!Z$9))</f>
        <v>Pro Forma Labor Exec</v>
      </c>
      <c r="D31" s="156">
        <f>'ADJ DETAIL INPUT'!Z$58</f>
        <v>8.4499999999999993</v>
      </c>
      <c r="E31" s="156">
        <f>'ADJ DETAIL INPUT'!Z$81</f>
        <v>0</v>
      </c>
      <c r="G31" s="352" t="s">
        <v>169</v>
      </c>
      <c r="I31" s="546" t="s">
        <v>246</v>
      </c>
      <c r="K31" s="492" t="s">
        <v>126</v>
      </c>
      <c r="L31" s="50"/>
    </row>
    <row r="32" spans="1:12">
      <c r="A32" s="405">
        <f>'ADJ DETAIL INPUT'!AA$10</f>
        <v>3.0199999999999996</v>
      </c>
      <c r="B32" s="275" t="str">
        <f>'ADJ DETAIL INPUT'!AA$11</f>
        <v>G-PEB</v>
      </c>
      <c r="C32" s="56" t="str">
        <f>TRIM(CONCATENATE('ADJ DETAIL INPUT'!AA$7," ",'ADJ DETAIL INPUT'!AA$8," ",'ADJ DETAIL INPUT'!AA$9))</f>
        <v>Pro Forma Employee Benefits</v>
      </c>
      <c r="D32" s="156">
        <f>'ADJ DETAIL INPUT'!AA$58</f>
        <v>-259.35000000000002</v>
      </c>
      <c r="E32" s="156">
        <f>'ADJ DETAIL INPUT'!AA$81</f>
        <v>0</v>
      </c>
      <c r="G32" s="352" t="s">
        <v>169</v>
      </c>
      <c r="I32" s="546" t="s">
        <v>246</v>
      </c>
      <c r="K32" s="492" t="s">
        <v>126</v>
      </c>
      <c r="L32" s="50"/>
    </row>
    <row r="33" spans="1:13" s="492" customFormat="1">
      <c r="A33" s="501">
        <f>'ADJ DETAIL INPUT'!AB$10</f>
        <v>3.0299999999999994</v>
      </c>
      <c r="B33" s="502" t="str">
        <f>'ADJ DETAIL INPUT'!AB$11</f>
        <v>G-PPS</v>
      </c>
      <c r="C33" s="499" t="str">
        <f>TRIM(CONCATENATE('ADJ DETAIL INPUT'!AB$7," ",'ADJ DETAIL INPUT'!AB$8," ",'ADJ DETAIL INPUT'!AB$9))</f>
        <v>Pro Forma Pipeline Safety Labor</v>
      </c>
      <c r="D33" s="495">
        <f>'ADJ DETAIL INPUT'!AB$58</f>
        <v>0</v>
      </c>
      <c r="E33" s="495">
        <f>'ADJ DETAIL INPUT'!AB$81</f>
        <v>0</v>
      </c>
      <c r="F33" s="494"/>
      <c r="G33" s="493" t="s">
        <v>169</v>
      </c>
      <c r="H33" s="494"/>
      <c r="I33" s="563" t="s">
        <v>126</v>
      </c>
      <c r="J33" s="550"/>
      <c r="K33" s="492" t="s">
        <v>126</v>
      </c>
      <c r="L33" s="119"/>
      <c r="M33" s="496"/>
    </row>
    <row r="34" spans="1:13">
      <c r="A34" s="405">
        <f>'ADJ DETAIL INPUT'!AC$10</f>
        <v>3.0399999999999991</v>
      </c>
      <c r="B34" s="275" t="str">
        <f>'ADJ DETAIL INPUT'!AC$11</f>
        <v>G-PPT</v>
      </c>
      <c r="C34" s="56" t="str">
        <f>TRIM(CONCATENATE('ADJ DETAIL INPUT'!AC$7," ",'ADJ DETAIL INPUT'!AC$8," ",'ADJ DETAIL INPUT'!AC$9))</f>
        <v>Pro Forma Property Tax</v>
      </c>
      <c r="D34" s="156">
        <f>'ADJ DETAIL INPUT'!AC$58</f>
        <v>-149.5</v>
      </c>
      <c r="E34" s="156">
        <f>'ADJ DETAIL INPUT'!AC$81</f>
        <v>0</v>
      </c>
      <c r="G34" s="352" t="s">
        <v>134</v>
      </c>
      <c r="I34" s="546" t="s">
        <v>454</v>
      </c>
      <c r="K34" s="492" t="s">
        <v>126</v>
      </c>
      <c r="L34" s="119"/>
      <c r="M34" s="120"/>
    </row>
    <row r="35" spans="1:13" s="438" customFormat="1">
      <c r="A35" s="451">
        <f>'ADJ DETAIL INPUT'!AD$10</f>
        <v>3.0499999999999989</v>
      </c>
      <c r="B35" s="452" t="str">
        <f>'ADJ DETAIL INPUT'!AD$11</f>
        <v>G-PREV</v>
      </c>
      <c r="C35" s="449" t="str">
        <f>TRIM(CONCATENATE('ADJ DETAIL INPUT'!AD$7," ",'ADJ DETAIL INPUT'!AD$8," ",'ADJ DETAIL INPUT'!AD$9))</f>
        <v>Pro Forma Revenue Normalization</v>
      </c>
      <c r="D35" s="445">
        <f>'ADJ DETAIL INPUT'!AD$58</f>
        <v>8002.1500000000005</v>
      </c>
      <c r="E35" s="445">
        <f>'ADJ DETAIL INPUT'!AD$81</f>
        <v>0</v>
      </c>
      <c r="F35" s="441"/>
      <c r="G35" s="439" t="s">
        <v>169</v>
      </c>
      <c r="H35" s="441"/>
      <c r="I35" s="546" t="s">
        <v>181</v>
      </c>
      <c r="J35" s="550"/>
      <c r="K35" s="438" t="s">
        <v>126</v>
      </c>
      <c r="L35" s="492"/>
      <c r="M35" s="447"/>
    </row>
    <row r="36" spans="1:13" s="492" customFormat="1">
      <c r="A36" s="501">
        <f>'ADJ DETAIL INPUT'!AE$10</f>
        <v>3.0599999999999987</v>
      </c>
      <c r="B36" s="502" t="str">
        <f>'ADJ DETAIL INPUT'!AE$11</f>
        <v>G-PAT</v>
      </c>
      <c r="C36" s="499" t="str">
        <f>TRIM(CONCATENATE('ADJ DETAIL INPUT'!AE$7," ",'ADJ DETAIL INPUT'!AE$8," ",'ADJ DETAIL INPUT'!AE$9))</f>
        <v>Pro Forma Atmospheric Testing</v>
      </c>
      <c r="D36" s="495">
        <f>'ADJ DETAIL INPUT'!AE$58</f>
        <v>-153.4</v>
      </c>
      <c r="E36" s="495">
        <f>'ADJ DETAIL INPUT'!AE$81</f>
        <v>0</v>
      </c>
      <c r="F36" s="494"/>
      <c r="G36" s="493" t="s">
        <v>177</v>
      </c>
      <c r="H36" s="494"/>
      <c r="I36" s="546" t="s">
        <v>454</v>
      </c>
      <c r="J36" s="550"/>
      <c r="K36" s="492" t="s">
        <v>126</v>
      </c>
      <c r="L36" s="119"/>
      <c r="M36" s="496"/>
    </row>
    <row r="37" spans="1:13" s="492" customFormat="1">
      <c r="A37" s="501">
        <f>'ADJ DETAIL INPUT'!AF$10</f>
        <v>3.0699999999999985</v>
      </c>
      <c r="B37" s="502" t="str">
        <f>'ADJ DETAIL INPUT'!AF$11</f>
        <v>G-PRA</v>
      </c>
      <c r="C37" s="499" t="str">
        <f>TRIM(CONCATENATE('ADJ DETAIL INPUT'!AF$7," ",'ADJ DETAIL INPUT'!AF$8," ",'ADJ DETAIL INPUT'!AF$9))</f>
        <v>Pro Forma Regulatory Amortization</v>
      </c>
      <c r="D37" s="495">
        <f>'ADJ DETAIL INPUT'!AF$58</f>
        <v>-1679.6</v>
      </c>
      <c r="E37" s="495">
        <f>'ADJ DETAIL INPUT'!AF$81</f>
        <v>0</v>
      </c>
      <c r="F37" s="494"/>
      <c r="G37" s="493" t="s">
        <v>177</v>
      </c>
      <c r="H37" s="494"/>
      <c r="I37" s="546" t="s">
        <v>454</v>
      </c>
      <c r="J37" s="550"/>
      <c r="K37" s="492" t="s">
        <v>126</v>
      </c>
      <c r="M37" s="496"/>
    </row>
    <row r="38" spans="1:13" s="492" customFormat="1">
      <c r="A38" s="501">
        <f>'ADJ DETAIL INPUT'!AG$10</f>
        <v>3.0799999999999983</v>
      </c>
      <c r="B38" s="502" t="str">
        <f>'ADJ DETAIL INPUT'!AG$11</f>
        <v>G-PCAP15</v>
      </c>
      <c r="C38" s="499" t="str">
        <f>TRIM(CONCATENATE('ADJ DETAIL INPUT'!AG$7," ",'ADJ DETAIL INPUT'!AG$8," ",'ADJ DETAIL INPUT'!AG$9))</f>
        <v>Pro Forma Capital Add Dec 2015 AMA</v>
      </c>
      <c r="D38" s="495">
        <f>'ADJ DETAIL INPUT'!AG$58</f>
        <v>-304.61853710399998</v>
      </c>
      <c r="E38" s="495">
        <f>'ADJ DETAIL INPUT'!AG$81</f>
        <v>9640</v>
      </c>
      <c r="F38" s="494"/>
      <c r="G38" s="493" t="s">
        <v>177</v>
      </c>
      <c r="H38" s="494"/>
      <c r="I38" s="546" t="s">
        <v>455</v>
      </c>
      <c r="J38" s="550"/>
      <c r="K38" s="492" t="s">
        <v>126</v>
      </c>
      <c r="L38" s="119"/>
      <c r="M38" s="496"/>
    </row>
    <row r="39" spans="1:13" s="492" customFormat="1">
      <c r="A39" s="501">
        <f>'ADJ DETAIL INPUT'!AH$10</f>
        <v>3.0899999999999981</v>
      </c>
      <c r="B39" s="502" t="str">
        <f>'ADJ DETAIL INPUT'!AH$11</f>
        <v>G-PCAP16</v>
      </c>
      <c r="C39" s="499" t="str">
        <f>TRIM(CONCATENATE('ADJ DETAIL INPUT'!AH$7," ",'ADJ DETAIL INPUT'!AH$8," ",'ADJ DETAIL INPUT'!AH$9))</f>
        <v>Pro Forma 2016 Limited Capital Adds</v>
      </c>
      <c r="D39" s="495">
        <f>'ADJ DETAIL INPUT'!AH$58</f>
        <v>27.599542963199994</v>
      </c>
      <c r="E39" s="495">
        <f>'ADJ DETAIL INPUT'!AH$81</f>
        <v>7488</v>
      </c>
      <c r="F39" s="494"/>
      <c r="G39" s="493" t="s">
        <v>177</v>
      </c>
      <c r="H39" s="494"/>
      <c r="I39" s="546" t="s">
        <v>455</v>
      </c>
      <c r="K39" s="492" t="s">
        <v>126</v>
      </c>
      <c r="L39" s="119"/>
      <c r="M39" s="496"/>
    </row>
    <row r="40" spans="1:13" s="492" customFormat="1">
      <c r="A40" s="501">
        <f>'ADJ DETAIL INPUT'!AI$10</f>
        <v>3.0999999999999979</v>
      </c>
      <c r="B40" s="502" t="str">
        <f>'ADJ DETAIL INPUT'!AI$11</f>
        <v>G-POFF</v>
      </c>
      <c r="C40" s="499" t="str">
        <f>TRIM(CONCATENATE('ADJ DETAIL INPUT'!AI$7," ",'ADJ DETAIL INPUT'!AI$8," ",'ADJ DETAIL INPUT'!AI$9))</f>
        <v>Pro Forma O&amp;M Offsets</v>
      </c>
      <c r="D40" s="495">
        <f>'ADJ DETAIL INPUT'!AI$58</f>
        <v>22.1</v>
      </c>
      <c r="E40" s="495">
        <f>'ADJ DETAIL INPUT'!AI$81</f>
        <v>0</v>
      </c>
      <c r="F40" s="494"/>
      <c r="G40" s="493" t="s">
        <v>177</v>
      </c>
      <c r="H40" s="494"/>
      <c r="I40" s="546" t="s">
        <v>454</v>
      </c>
      <c r="J40" s="550"/>
      <c r="K40" s="492" t="s">
        <v>126</v>
      </c>
      <c r="L40" s="119"/>
      <c r="M40" s="496"/>
    </row>
    <row r="41" spans="1:13" s="492" customFormat="1">
      <c r="A41" s="501"/>
      <c r="B41" s="502"/>
      <c r="C41" s="499"/>
      <c r="D41" s="495"/>
      <c r="E41" s="495"/>
      <c r="F41" s="494"/>
      <c r="G41" s="493"/>
      <c r="H41" s="494"/>
      <c r="I41" s="546"/>
      <c r="J41" s="550"/>
      <c r="L41" s="119"/>
      <c r="M41" s="496"/>
    </row>
    <row r="42" spans="1:13" s="492" customFormat="1">
      <c r="A42" s="498" t="s">
        <v>525</v>
      </c>
      <c r="B42" s="502"/>
      <c r="C42" s="499"/>
      <c r="D42" s="495"/>
      <c r="E42" s="495"/>
      <c r="F42" s="494"/>
      <c r="G42" s="493"/>
      <c r="H42" s="494"/>
      <c r="I42" s="546"/>
      <c r="J42" s="550"/>
      <c r="L42" s="119"/>
      <c r="M42" s="496"/>
    </row>
    <row r="43" spans="1:13" s="492" customFormat="1">
      <c r="A43" s="501">
        <f>'ADJ DETAIL INPUT'!AL$10</f>
        <v>4</v>
      </c>
      <c r="B43" s="502" t="str">
        <f>'ADJ DETAIL INPUT'!AL$11</f>
        <v>G-CLN</v>
      </c>
      <c r="C43" s="499" t="str">
        <f>TRIM(CONCATENATE('ADJ DETAIL INPUT'!AL$7," ",'ADJ DETAIL INPUT'!AL$8," ",'ADJ DETAIL INPUT'!AL$9))</f>
        <v>Cross Check Labor Non-Exec</v>
      </c>
      <c r="D43" s="495">
        <f>'ADJ DETAIL INPUT'!AL$58</f>
        <v>0</v>
      </c>
      <c r="E43" s="495">
        <f>'ADJ DETAIL INPUT'!AL$81</f>
        <v>0</v>
      </c>
      <c r="F43" s="494"/>
      <c r="G43" s="493" t="s">
        <v>177</v>
      </c>
      <c r="H43" s="494"/>
      <c r="I43" s="546" t="s">
        <v>246</v>
      </c>
      <c r="J43" s="553"/>
      <c r="K43" s="492" t="s">
        <v>126</v>
      </c>
      <c r="L43" s="119"/>
      <c r="M43" s="496"/>
    </row>
    <row r="44" spans="1:13" s="492" customFormat="1">
      <c r="A44" s="501">
        <f>'ADJ DETAIL INPUT'!AM$10</f>
        <v>4.01</v>
      </c>
      <c r="B44" s="502" t="str">
        <f>'ADJ DETAIL INPUT'!AM$11</f>
        <v>G-CCAP16</v>
      </c>
      <c r="C44" s="499" t="str">
        <f>TRIM(CONCATENATE('ADJ DETAIL INPUT'!AM$7," ",'ADJ DETAIL INPUT'!AM$8," ",'ADJ DETAIL INPUT'!AM$9))</f>
        <v>Cross Check Capital Add 2016 AMA</v>
      </c>
      <c r="D44" s="495">
        <f>'ADJ DETAIL INPUT'!AM$58</f>
        <v>0</v>
      </c>
      <c r="E44" s="495">
        <f>'ADJ DETAIL INPUT'!AM$81</f>
        <v>0</v>
      </c>
      <c r="F44" s="539"/>
      <c r="G44" s="538" t="s">
        <v>177</v>
      </c>
      <c r="H44" s="539"/>
      <c r="I44" s="546" t="s">
        <v>455</v>
      </c>
      <c r="J44" s="550"/>
      <c r="K44" s="492" t="s">
        <v>126</v>
      </c>
      <c r="L44" s="119"/>
      <c r="M44" s="496"/>
    </row>
    <row r="45" spans="1:13" s="492" customFormat="1">
      <c r="A45" s="501">
        <f>'ADJ DETAIL INPUT'!AN$10</f>
        <v>4.0199999999999996</v>
      </c>
      <c r="B45" s="502" t="str">
        <f>'ADJ DETAIL INPUT'!AN$11</f>
        <v>G-CCAP17</v>
      </c>
      <c r="C45" s="499" t="str">
        <f>TRIM(CONCATENATE('ADJ DETAIL INPUT'!AN$7," ",'ADJ DETAIL INPUT'!AN$8," ",'ADJ DETAIL INPUT'!AN$9))</f>
        <v>Cross Check Capital Add 2017 AMA</v>
      </c>
      <c r="D45" s="495">
        <f>'ADJ DETAIL INPUT'!AN$58</f>
        <v>0</v>
      </c>
      <c r="E45" s="495">
        <f>'ADJ DETAIL INPUT'!AN$81</f>
        <v>0</v>
      </c>
      <c r="F45" s="494"/>
      <c r="G45" s="493" t="s">
        <v>177</v>
      </c>
      <c r="H45" s="494"/>
      <c r="I45" s="546" t="s">
        <v>455</v>
      </c>
      <c r="J45" s="550"/>
      <c r="K45" s="492" t="s">
        <v>126</v>
      </c>
      <c r="L45" s="119"/>
      <c r="M45" s="496"/>
    </row>
    <row r="46" spans="1:13" s="492" customFormat="1">
      <c r="A46" s="501">
        <f>'ADJ DETAIL INPUT'!AO$10</f>
        <v>4.0299999999999994</v>
      </c>
      <c r="B46" s="502" t="str">
        <f>'ADJ DETAIL INPUT'!AO$11</f>
        <v>G-CAMI</v>
      </c>
      <c r="C46" s="499" t="str">
        <f>TRIM(CONCATENATE('ADJ DETAIL INPUT'!AO$7," ",'ADJ DETAIL INPUT'!AO$8," ",'ADJ DETAIL INPUT'!AO$9))</f>
        <v>Cross Check 2017 AMI Capital &amp; Expense</v>
      </c>
      <c r="D46" s="495">
        <f>'ADJ DETAIL INPUT'!AO$58</f>
        <v>0</v>
      </c>
      <c r="E46" s="495">
        <f>'ADJ DETAIL INPUT'!AO$81</f>
        <v>0</v>
      </c>
      <c r="F46" s="494"/>
      <c r="G46" s="493" t="s">
        <v>177</v>
      </c>
      <c r="H46" s="494"/>
      <c r="I46" s="546" t="s">
        <v>455</v>
      </c>
      <c r="K46" s="492" t="s">
        <v>126</v>
      </c>
      <c r="L46" s="119"/>
      <c r="M46" s="496"/>
    </row>
    <row r="47" spans="1:13" s="496" customFormat="1">
      <c r="A47" s="213">
        <f>'ADJ DETAIL INPUT'!AP$10</f>
        <v>4.0399999999999991</v>
      </c>
      <c r="B47" s="274" t="str">
        <f>'ADJ DETAIL INPUT'!AP$11</f>
        <v>G-CIS</v>
      </c>
      <c r="C47" s="499" t="str">
        <f>TRIM(CONCATENATE('ADJ DETAIL INPUT'!AP$7," ",'ADJ DETAIL INPUT'!AP$8," ",'ADJ DETAIL INPUT'!AP$9))</f>
        <v>Cross Check Information Tech/Serv Exp</v>
      </c>
      <c r="D47" s="406">
        <f>'ADJ DETAIL INPUT'!AP$58</f>
        <v>0</v>
      </c>
      <c r="E47" s="406">
        <f>'ADJ DETAIL INPUT'!AP$81</f>
        <v>0</v>
      </c>
      <c r="F47" s="58"/>
      <c r="G47" s="152" t="s">
        <v>177</v>
      </c>
      <c r="H47" s="58"/>
      <c r="I47" s="560" t="s">
        <v>178</v>
      </c>
      <c r="J47" s="561"/>
      <c r="K47" s="492" t="s">
        <v>126</v>
      </c>
      <c r="L47" s="119"/>
    </row>
    <row r="48" spans="1:13" s="492" customFormat="1">
      <c r="A48" s="501">
        <f>'ADJ DETAIL INPUT'!AQ$10</f>
        <v>4.0499999999999989</v>
      </c>
      <c r="B48" s="502" t="str">
        <f>'ADJ DETAIL INPUT'!AQ$11</f>
        <v>G-CI</v>
      </c>
      <c r="C48" s="499" t="str">
        <f>TRIM(CONCATENATE('ADJ DETAIL INPUT'!AQ$7," ",'ADJ DETAIL INPUT'!AQ$8," ",'ADJ DETAIL INPUT'!AQ$9))</f>
        <v>Cross Check Insurance Expense</v>
      </c>
      <c r="D48" s="495">
        <f>'ADJ DETAIL INPUT'!AQ$58</f>
        <v>0</v>
      </c>
      <c r="E48" s="495">
        <f>'ADJ DETAIL INPUT'!AQ$81</f>
        <v>0</v>
      </c>
      <c r="F48" s="494"/>
      <c r="G48" s="493" t="s">
        <v>177</v>
      </c>
      <c r="H48" s="494"/>
      <c r="I48" s="546" t="s">
        <v>246</v>
      </c>
      <c r="J48" s="553"/>
      <c r="K48" s="492" t="s">
        <v>126</v>
      </c>
      <c r="L48" s="119"/>
      <c r="M48" s="496"/>
    </row>
    <row r="49" spans="1:13" s="492" customFormat="1">
      <c r="A49" s="501">
        <f>'ADJ DETAIL INPUT'!AR$10</f>
        <v>4.0599999999999987</v>
      </c>
      <c r="B49" s="502" t="str">
        <f>'ADJ DETAIL INPUT'!AR$11</f>
        <v>G-CPT</v>
      </c>
      <c r="C49" s="499" t="str">
        <f>TRIM(CONCATENATE('ADJ DETAIL INPUT'!AR$7," ",'ADJ DETAIL INPUT'!AR$8," ",'ADJ DETAIL INPUT'!AR$9))</f>
        <v>Cross Check Property Tax Exp</v>
      </c>
      <c r="D49" s="495">
        <f>'ADJ DETAIL INPUT'!AR$58</f>
        <v>0</v>
      </c>
      <c r="E49" s="495">
        <f>'ADJ DETAIL INPUT'!AR$81</f>
        <v>0</v>
      </c>
      <c r="F49" s="565"/>
      <c r="G49" s="564" t="s">
        <v>177</v>
      </c>
      <c r="H49" s="565"/>
      <c r="I49" s="546" t="s">
        <v>454</v>
      </c>
      <c r="J49" s="550"/>
      <c r="K49" s="492" t="s">
        <v>126</v>
      </c>
      <c r="L49" s="119"/>
      <c r="M49" s="496"/>
    </row>
    <row r="50" spans="1:13" s="492" customFormat="1">
      <c r="A50" s="501">
        <f>'ADJ DETAIL INPUT'!AT$10</f>
        <v>4.0699999999999985</v>
      </c>
      <c r="B50" s="502" t="str">
        <f>'ADJ DETAIL INPUT'!AT$11</f>
        <v>G-CREC</v>
      </c>
      <c r="C50" s="499" t="str">
        <f>TRIM(CONCATENATE('ADJ DETAIL INPUT'!AT$7," ",'ADJ DETAIL INPUT'!AT$8," ",'ADJ DETAIL INPUT'!AT$9))</f>
        <v>Reconcile 2017 Cross Check to Attrition</v>
      </c>
      <c r="D50" s="495">
        <f>'ADJ DETAIL INPUT'!AT$58</f>
        <v>0</v>
      </c>
      <c r="E50" s="495">
        <f>'ADJ DETAIL INPUT'!AT$81</f>
        <v>0</v>
      </c>
      <c r="F50" s="494"/>
      <c r="G50" s="493" t="s">
        <v>177</v>
      </c>
      <c r="H50" s="494"/>
      <c r="I50" s="586" t="s">
        <v>126</v>
      </c>
      <c r="J50" s="550"/>
      <c r="K50" s="492" t="s">
        <v>126</v>
      </c>
      <c r="L50" s="119"/>
      <c r="M50" s="496"/>
    </row>
    <row r="51" spans="1:13" s="120" customFormat="1" ht="3" customHeight="1">
      <c r="A51" s="409"/>
      <c r="B51" s="410"/>
      <c r="C51" s="407"/>
      <c r="D51" s="406"/>
      <c r="E51" s="406"/>
      <c r="F51" s="58"/>
      <c r="G51" s="155"/>
      <c r="H51" s="58"/>
      <c r="I51" s="549"/>
      <c r="J51" s="554"/>
      <c r="K51" s="118"/>
      <c r="L51" s="119"/>
    </row>
    <row r="52" spans="1:13" ht="14" thickBot="1">
      <c r="A52" s="353"/>
      <c r="C52" s="492" t="s">
        <v>527</v>
      </c>
      <c r="D52" s="59">
        <f>SUM(D28:D51)</f>
        <v>22463.091843018403</v>
      </c>
      <c r="E52" s="59">
        <f>SUM(E28:E51)</f>
        <v>279395</v>
      </c>
      <c r="F52" s="61">
        <f>D52/E52</f>
        <v>8.0399047381013986E-2</v>
      </c>
      <c r="G52" s="153"/>
      <c r="H52" s="411">
        <f>'ADJ DETAIL INPUT'!AK82</f>
        <v>0</v>
      </c>
      <c r="K52" s="47"/>
      <c r="L52" s="50"/>
    </row>
    <row r="53" spans="1:13" ht="12.75" customHeight="1" thickTop="1">
      <c r="A53" s="353"/>
      <c r="D53" s="56"/>
      <c r="K53" s="47"/>
      <c r="L53" s="50"/>
    </row>
    <row r="54" spans="1:13" s="492" customFormat="1">
      <c r="A54" s="498" t="s">
        <v>526</v>
      </c>
      <c r="B54" s="502"/>
      <c r="C54" s="499"/>
      <c r="D54" s="495"/>
      <c r="E54" s="495"/>
      <c r="F54" s="505"/>
      <c r="G54" s="504"/>
      <c r="H54" s="505"/>
      <c r="I54" s="546"/>
      <c r="J54" s="550"/>
      <c r="L54" s="119"/>
      <c r="M54" s="496"/>
    </row>
    <row r="55" spans="1:13" s="492" customFormat="1">
      <c r="A55" s="501">
        <f>'ADJ DETAIL INPUT'!BB$10</f>
        <v>0</v>
      </c>
      <c r="B55" s="502">
        <f>'ADJ DETAIL INPUT'!BB$11</f>
        <v>0</v>
      </c>
      <c r="C55" s="499" t="str">
        <f>TRIM(CONCATENATE('ADJ DETAIL INPUT'!BB$7," ",'ADJ DETAIL INPUT'!BB$8," ",'ADJ DETAIL INPUT'!BB$9))</f>
        <v/>
      </c>
      <c r="D55" s="495">
        <f>'ADJ DETAIL INPUT'!BB$58</f>
        <v>0</v>
      </c>
      <c r="E55" s="495">
        <f>'ADJ DETAIL INPUT'!BB$81</f>
        <v>0</v>
      </c>
      <c r="F55" s="505"/>
      <c r="G55" s="504" t="s">
        <v>177</v>
      </c>
      <c r="H55" s="505"/>
      <c r="I55" s="546" t="s">
        <v>246</v>
      </c>
      <c r="J55" s="553"/>
      <c r="K55" s="492" t="s">
        <v>126</v>
      </c>
      <c r="L55" s="119"/>
      <c r="M55" s="496"/>
    </row>
    <row r="56" spans="1:13" s="492" customFormat="1">
      <c r="A56" s="501">
        <f>'ADJ DETAIL INPUT'!BC$10</f>
        <v>0</v>
      </c>
      <c r="B56" s="502">
        <f>'ADJ DETAIL INPUT'!BC$11</f>
        <v>0</v>
      </c>
      <c r="C56" s="499" t="str">
        <f>TRIM(CONCATENATE('ADJ DETAIL INPUT'!BC$7," ",'ADJ DETAIL INPUT'!BC$8," ",'ADJ DETAIL INPUT'!BC$9))</f>
        <v/>
      </c>
      <c r="D56" s="495">
        <f>'ADJ DETAIL INPUT'!BC$58</f>
        <v>0</v>
      </c>
      <c r="E56" s="495">
        <f>'ADJ DETAIL INPUT'!BC$81</f>
        <v>0</v>
      </c>
      <c r="F56" s="505"/>
      <c r="G56" s="504" t="s">
        <v>177</v>
      </c>
      <c r="H56" s="505"/>
      <c r="I56" s="546" t="s">
        <v>454</v>
      </c>
      <c r="J56" s="550"/>
      <c r="K56" s="492" t="s">
        <v>126</v>
      </c>
      <c r="L56" s="119"/>
      <c r="M56" s="496"/>
    </row>
    <row r="57" spans="1:13" s="492" customFormat="1">
      <c r="A57" s="501">
        <f>'ADJ DETAIL INPUT'!BD$10</f>
        <v>0</v>
      </c>
      <c r="B57" s="502">
        <f>'ADJ DETAIL INPUT'!BD$11</f>
        <v>0</v>
      </c>
      <c r="C57" s="499" t="str">
        <f>TRIM(CONCATENATE('ADJ DETAIL INPUT'!BD$7," ",'ADJ DETAIL INPUT'!BD$8," ",'ADJ DETAIL INPUT'!BD$9))</f>
        <v/>
      </c>
      <c r="D57" s="495">
        <f>'ADJ DETAIL INPUT'!BD$58</f>
        <v>0</v>
      </c>
      <c r="E57" s="495">
        <f>'ADJ DETAIL INPUT'!BD$81</f>
        <v>0</v>
      </c>
      <c r="F57" s="559"/>
      <c r="G57" s="558" t="s">
        <v>177</v>
      </c>
      <c r="H57" s="559"/>
      <c r="I57" s="546" t="s">
        <v>246</v>
      </c>
      <c r="J57" s="550"/>
      <c r="K57" s="492" t="s">
        <v>126</v>
      </c>
      <c r="L57" s="119"/>
      <c r="M57" s="496"/>
    </row>
    <row r="58" spans="1:13" s="492" customFormat="1">
      <c r="A58" s="501">
        <f>'ADJ DETAIL INPUT'!BE$10</f>
        <v>0</v>
      </c>
      <c r="B58" s="502">
        <f>'ADJ DETAIL INPUT'!BE$11</f>
        <v>0</v>
      </c>
      <c r="C58" s="499" t="str">
        <f>TRIM(CONCATENATE('ADJ DETAIL INPUT'!BE$7," ",'ADJ DETAIL INPUT'!BE$8," ",'ADJ DETAIL INPUT'!BE$9))</f>
        <v/>
      </c>
      <c r="D58" s="495">
        <f>'ADJ DETAIL INPUT'!BE$58</f>
        <v>0</v>
      </c>
      <c r="E58" s="495">
        <f>'ADJ DETAIL INPUT'!BE$81</f>
        <v>0</v>
      </c>
      <c r="F58" s="505"/>
      <c r="G58" s="504" t="s">
        <v>177</v>
      </c>
      <c r="H58" s="505"/>
      <c r="I58" s="546" t="s">
        <v>178</v>
      </c>
      <c r="J58" s="553"/>
      <c r="K58" s="492" t="s">
        <v>126</v>
      </c>
      <c r="L58" s="119"/>
      <c r="M58" s="496"/>
    </row>
    <row r="59" spans="1:13" s="492" customFormat="1">
      <c r="A59" s="501">
        <f>'ADJ DETAIL INPUT'!BF$10</f>
        <v>0</v>
      </c>
      <c r="B59" s="502">
        <f>'ADJ DETAIL INPUT'!BF$11</f>
        <v>0</v>
      </c>
      <c r="C59" s="499" t="str">
        <f>TRIM(CONCATENATE('ADJ DETAIL INPUT'!BF$7," ",'ADJ DETAIL INPUT'!BF$8," ",'ADJ DETAIL INPUT'!BF$9))</f>
        <v/>
      </c>
      <c r="D59" s="495">
        <f>'ADJ DETAIL INPUT'!BF$58</f>
        <v>0</v>
      </c>
      <c r="E59" s="495">
        <f>'ADJ DETAIL INPUT'!BF$81</f>
        <v>0</v>
      </c>
      <c r="F59" s="565"/>
      <c r="G59" s="564" t="s">
        <v>177</v>
      </c>
      <c r="H59" s="565"/>
      <c r="I59" s="546" t="s">
        <v>178</v>
      </c>
      <c r="J59" s="553"/>
      <c r="K59" s="492" t="s">
        <v>126</v>
      </c>
      <c r="L59" s="119"/>
      <c r="M59" s="496"/>
    </row>
    <row r="60" spans="1:13" s="492" customFormat="1">
      <c r="A60" s="501">
        <f>'ADJ DETAIL INPUT'!BG$10</f>
        <v>0</v>
      </c>
      <c r="B60" s="502">
        <f>'ADJ DETAIL INPUT'!BG$11</f>
        <v>0</v>
      </c>
      <c r="C60" s="499" t="str">
        <f>TRIM(CONCATENATE('ADJ DETAIL INPUT'!BG$7," ",'ADJ DETAIL INPUT'!BG$8," ",'ADJ DETAIL INPUT'!BG$9))</f>
        <v/>
      </c>
      <c r="D60" s="495">
        <f>'ADJ DETAIL INPUT'!BG$58</f>
        <v>0</v>
      </c>
      <c r="E60" s="495">
        <f>'ADJ DETAIL INPUT'!BG$81</f>
        <v>0</v>
      </c>
      <c r="F60" s="505"/>
      <c r="G60" s="504" t="s">
        <v>177</v>
      </c>
      <c r="H60" s="505"/>
      <c r="I60" s="546" t="s">
        <v>455</v>
      </c>
      <c r="K60" s="492" t="s">
        <v>126</v>
      </c>
      <c r="L60" s="119"/>
      <c r="M60" s="496"/>
    </row>
    <row r="61" spans="1:13" s="492" customFormat="1">
      <c r="A61" s="501">
        <f>'ADJ DETAIL INPUT'!BI$10</f>
        <v>0</v>
      </c>
      <c r="B61" s="502">
        <f>'ADJ DETAIL INPUT'!BI$11</f>
        <v>0</v>
      </c>
      <c r="C61" s="499" t="str">
        <f>TRIM(CONCATENATE('ADJ DETAIL INPUT'!BI$7," ",'ADJ DETAIL INPUT'!BI$8," ",'ADJ DETAIL INPUT'!BI$9))</f>
        <v/>
      </c>
      <c r="D61" s="495">
        <f>'ADJ DETAIL INPUT'!BI$58</f>
        <v>0</v>
      </c>
      <c r="E61" s="495">
        <f>'ADJ DETAIL INPUT'!BI$81</f>
        <v>0</v>
      </c>
      <c r="F61" s="505"/>
      <c r="G61" s="504" t="s">
        <v>177</v>
      </c>
      <c r="H61" s="505"/>
      <c r="I61" s="586" t="s">
        <v>126</v>
      </c>
      <c r="J61" s="550"/>
      <c r="K61" s="492" t="s">
        <v>126</v>
      </c>
      <c r="L61" s="119"/>
      <c r="M61" s="496"/>
    </row>
    <row r="62" spans="1:13" s="496" customFormat="1" ht="10.5" customHeight="1">
      <c r="A62" s="409"/>
      <c r="B62" s="410"/>
      <c r="C62" s="499"/>
      <c r="D62" s="406"/>
      <c r="E62" s="406"/>
      <c r="F62" s="58"/>
      <c r="G62" s="498"/>
      <c r="H62" s="58"/>
      <c r="I62" s="549"/>
      <c r="J62" s="554"/>
      <c r="K62" s="446"/>
      <c r="L62" s="119"/>
    </row>
    <row r="63" spans="1:13" s="492" customFormat="1" ht="14" thickBot="1">
      <c r="A63" s="505"/>
      <c r="B63" s="273"/>
      <c r="C63" s="492" t="s">
        <v>528</v>
      </c>
      <c r="D63" s="59">
        <f>SUM(D52:D62)</f>
        <v>22463.091843018403</v>
      </c>
      <c r="E63" s="59">
        <f>SUM(E52:E62)</f>
        <v>279395</v>
      </c>
      <c r="F63" s="61">
        <f>D63/E63</f>
        <v>8.0399047381013986E-2</v>
      </c>
      <c r="G63" s="153"/>
      <c r="H63" s="411">
        <f>'ADJ DETAIL INPUT'!AK93</f>
        <v>0</v>
      </c>
      <c r="I63" s="546"/>
      <c r="J63" s="550"/>
      <c r="K63" s="440"/>
      <c r="L63" s="443"/>
    </row>
    <row r="64" spans="1:13" s="492" customFormat="1" ht="12.75" customHeight="1" thickTop="1">
      <c r="A64" s="505"/>
      <c r="B64" s="273"/>
      <c r="D64" s="444"/>
      <c r="F64" s="505"/>
      <c r="G64" s="504"/>
      <c r="H64" s="505"/>
      <c r="I64" s="546"/>
      <c r="J64" s="550"/>
      <c r="K64" s="440"/>
      <c r="L64" s="443"/>
    </row>
    <row r="65" spans="1:12" ht="12.75" customHeight="1">
      <c r="A65" s="353"/>
      <c r="C65" s="36" t="s">
        <v>146</v>
      </c>
      <c r="D65" s="56"/>
      <c r="H65" s="411"/>
      <c r="I65" s="546" t="s">
        <v>456</v>
      </c>
      <c r="K65" s="492" t="s">
        <v>126</v>
      </c>
      <c r="L65" s="50"/>
    </row>
    <row r="66" spans="1:12" ht="12.75" customHeight="1">
      <c r="A66" s="55"/>
      <c r="B66" s="412"/>
      <c r="C66" s="56"/>
      <c r="D66" s="56"/>
      <c r="J66" s="551"/>
      <c r="K66" s="47"/>
      <c r="L66" s="50"/>
    </row>
    <row r="67" spans="1:12" ht="12.75" customHeight="1">
      <c r="A67" s="55"/>
      <c r="B67" s="412"/>
      <c r="C67" s="56"/>
      <c r="D67" s="56"/>
      <c r="J67" s="551"/>
      <c r="K67" s="47"/>
      <c r="L67" s="50"/>
    </row>
    <row r="68" spans="1:12" ht="12.75" customHeight="1">
      <c r="A68" s="55"/>
      <c r="B68" s="412"/>
      <c r="C68" s="56"/>
      <c r="D68" s="56"/>
      <c r="J68" s="551"/>
      <c r="K68" s="47"/>
      <c r="L68" s="50"/>
    </row>
    <row r="69" spans="1:12" ht="12.75" customHeight="1">
      <c r="A69" s="55"/>
      <c r="B69" s="412"/>
      <c r="C69" s="56"/>
      <c r="D69" s="56"/>
      <c r="J69" s="551"/>
      <c r="K69" s="47"/>
      <c r="L69" s="50"/>
    </row>
    <row r="70" spans="1:12" ht="12.75" customHeight="1">
      <c r="A70" s="55"/>
      <c r="B70" s="412"/>
      <c r="C70" s="56"/>
      <c r="D70" s="56"/>
      <c r="J70" s="551"/>
      <c r="K70" s="47"/>
      <c r="L70" s="50"/>
    </row>
    <row r="71" spans="1:12" ht="12.75" customHeight="1">
      <c r="A71" s="55"/>
      <c r="B71" s="412"/>
      <c r="C71" s="56"/>
      <c r="D71" s="56"/>
      <c r="J71" s="551"/>
      <c r="K71" s="47"/>
      <c r="L71" s="50"/>
    </row>
    <row r="72" spans="1:12" ht="12.75" customHeight="1">
      <c r="A72" s="55"/>
      <c r="B72" s="412"/>
      <c r="C72" s="56"/>
      <c r="D72" s="56"/>
      <c r="I72" s="547"/>
      <c r="J72" s="551"/>
      <c r="K72" s="47"/>
      <c r="L72" s="50"/>
    </row>
    <row r="73" spans="1:12" ht="12.75" customHeight="1">
      <c r="A73" s="55"/>
      <c r="B73" s="412"/>
      <c r="H73" s="55"/>
      <c r="I73" s="547"/>
      <c r="J73" s="551"/>
      <c r="K73" s="47"/>
      <c r="L73" s="50"/>
    </row>
    <row r="74" spans="1:12" ht="12.75" customHeight="1">
      <c r="C74" s="47"/>
      <c r="F74" s="36"/>
      <c r="I74" s="547"/>
      <c r="J74" s="551"/>
      <c r="K74" s="49"/>
      <c r="L74" s="49"/>
    </row>
    <row r="75" spans="1:12" ht="12.75" customHeight="1">
      <c r="F75" s="36"/>
      <c r="I75" s="547"/>
      <c r="J75" s="551"/>
      <c r="K75" s="49"/>
      <c r="L75" s="49"/>
    </row>
    <row r="76" spans="1:12" ht="12.75" customHeight="1">
      <c r="C76" s="47"/>
      <c r="F76" s="36"/>
      <c r="I76" s="547"/>
      <c r="J76" s="551"/>
      <c r="K76" s="49"/>
      <c r="L76" s="49"/>
    </row>
    <row r="77" spans="1:12" ht="12.75" customHeight="1">
      <c r="C77" s="47"/>
      <c r="F77" s="36"/>
      <c r="I77" s="547"/>
      <c r="J77" s="551"/>
      <c r="K77" s="49"/>
      <c r="L77" s="49"/>
    </row>
    <row r="78" spans="1:12" ht="12.75" customHeight="1"/>
    <row r="79" spans="1:12" ht="12.75" customHeight="1"/>
    <row r="80" spans="1:12" ht="12.75" customHeight="1"/>
    <row r="81" ht="12.75" customHeight="1"/>
  </sheetData>
  <customSheetViews>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4">
    <mergeCell ref="A4:F4"/>
    <mergeCell ref="A1:F1"/>
    <mergeCell ref="A2:F2"/>
    <mergeCell ref="A3:F3"/>
  </mergeCells>
  <phoneticPr fontId="0" type="noConversion"/>
  <pageMargins left="0.75" right="0.5" top="1" bottom="1" header="0.5" footer="0.5"/>
  <pageSetup scale="80" orientation="portrait" horizontalDpi="1200" verticalDpi="1200" r:id="rId3"/>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O301"/>
  <sheetViews>
    <sheetView zoomScaleNormal="100" zoomScaleSheetLayoutView="100" workbookViewId="0">
      <pane xSplit="1" ySplit="9" topLeftCell="B70" activePane="bottomRight" state="frozen"/>
      <selection activeCell="M60" sqref="M60"/>
      <selection pane="topRight" activeCell="M60" sqref="M60"/>
      <selection pane="bottomLeft" activeCell="M60" sqref="M60"/>
      <selection pane="bottomRight" activeCell="M60" sqref="M60"/>
    </sheetView>
  </sheetViews>
  <sheetFormatPr defaultColWidth="9.1796875" defaultRowHeight="11.15" customHeight="1"/>
  <cols>
    <col min="1" max="1" width="8.26953125" style="9" customWidth="1"/>
    <col min="2" max="2" width="26.1796875" style="9" customWidth="1"/>
    <col min="3" max="3" width="12.453125" style="9" customWidth="1"/>
    <col min="4" max="4" width="6.7265625" style="9" customWidth="1"/>
    <col min="5" max="5" width="12.453125" style="29" customWidth="1"/>
    <col min="6" max="6" width="12.453125" style="30" customWidth="1"/>
    <col min="7" max="7" width="12.453125" style="29" customWidth="1"/>
    <col min="8" max="8" width="12.81640625" style="9" bestFit="1" customWidth="1"/>
    <col min="9" max="9" width="12.1796875" style="9" bestFit="1" customWidth="1"/>
    <col min="10" max="16384" width="9.1796875" style="9"/>
  </cols>
  <sheetData>
    <row r="1" spans="1:8" ht="16.5" customHeight="1">
      <c r="F1" s="348"/>
    </row>
    <row r="2" spans="1:8" ht="4.5" customHeight="1"/>
    <row r="3" spans="1:8" ht="11.5">
      <c r="A3" s="957" t="s">
        <v>114</v>
      </c>
      <c r="B3" s="957"/>
      <c r="C3" s="957"/>
      <c r="E3" s="10"/>
      <c r="F3" s="11"/>
      <c r="G3" s="10"/>
    </row>
    <row r="4" spans="1:8" ht="11.5">
      <c r="A4" s="8" t="s">
        <v>209</v>
      </c>
      <c r="B4" s="8"/>
      <c r="C4" s="8"/>
      <c r="E4" s="12" t="s">
        <v>78</v>
      </c>
      <c r="F4" s="12"/>
      <c r="G4" s="12"/>
    </row>
    <row r="5" spans="1:8" ht="11.5">
      <c r="A5" s="958" t="s">
        <v>487</v>
      </c>
      <c r="B5" s="957"/>
      <c r="C5" s="957"/>
      <c r="E5" s="12" t="s">
        <v>79</v>
      </c>
      <c r="F5" s="12"/>
      <c r="G5" s="12"/>
    </row>
    <row r="6" spans="1:8" ht="11.5">
      <c r="A6" s="8" t="s">
        <v>80</v>
      </c>
      <c r="B6" s="8"/>
      <c r="C6" s="8"/>
      <c r="E6" s="13"/>
      <c r="F6" s="14" t="s">
        <v>81</v>
      </c>
      <c r="G6" s="13"/>
    </row>
    <row r="7" spans="1:8" ht="11.5">
      <c r="A7" s="15" t="s">
        <v>7</v>
      </c>
      <c r="E7" s="10"/>
      <c r="F7" s="16"/>
      <c r="G7" s="10"/>
    </row>
    <row r="8" spans="1:8" ht="11.5">
      <c r="A8" s="17" t="s">
        <v>17</v>
      </c>
      <c r="B8" s="18" t="s">
        <v>73</v>
      </c>
      <c r="C8" s="18"/>
      <c r="E8" s="19" t="s">
        <v>82</v>
      </c>
      <c r="F8" s="20" t="s">
        <v>83</v>
      </c>
      <c r="G8" s="19" t="s">
        <v>84</v>
      </c>
      <c r="H8" s="21" t="s">
        <v>85</v>
      </c>
    </row>
    <row r="9" spans="1:8" ht="11.5">
      <c r="A9" s="15"/>
      <c r="B9" s="9" t="s">
        <v>34</v>
      </c>
      <c r="E9" s="22"/>
      <c r="F9" s="16"/>
      <c r="G9" s="22"/>
    </row>
    <row r="10" spans="1:8" ht="11.5">
      <c r="A10" s="15"/>
      <c r="B10" s="150"/>
      <c r="E10" s="149"/>
      <c r="F10" s="148"/>
      <c r="G10" s="148"/>
    </row>
    <row r="11" spans="1:8" ht="11.5">
      <c r="A11" s="15"/>
      <c r="B11" s="150"/>
      <c r="E11" s="149"/>
      <c r="F11" s="148"/>
      <c r="G11" s="148"/>
    </row>
    <row r="12" spans="1:8" ht="11.5">
      <c r="A12" s="15"/>
      <c r="E12" s="22"/>
      <c r="F12" s="16"/>
      <c r="G12" s="16"/>
    </row>
    <row r="13" spans="1:8" ht="5.25" customHeight="1">
      <c r="A13" s="214"/>
      <c r="E13" s="22"/>
      <c r="F13" s="16"/>
      <c r="G13" s="16"/>
    </row>
    <row r="14" spans="1:8" ht="11.5">
      <c r="A14" s="214"/>
      <c r="E14" s="22"/>
      <c r="F14" s="16"/>
      <c r="G14" s="16"/>
    </row>
    <row r="15" spans="1:8" ht="11.5">
      <c r="A15" s="15">
        <v>1</v>
      </c>
      <c r="B15" s="9" t="s">
        <v>86</v>
      </c>
      <c r="E15" s="23">
        <f>F15+G15</f>
        <v>152492</v>
      </c>
      <c r="F15" s="144">
        <f>F94</f>
        <v>152492</v>
      </c>
      <c r="G15" s="144">
        <f>G94</f>
        <v>0</v>
      </c>
      <c r="H15" s="24" t="str">
        <f>IF(E15=F15+G15," ","ERROR")</f>
        <v xml:space="preserve"> </v>
      </c>
    </row>
    <row r="16" spans="1:8" ht="11.5">
      <c r="A16" s="15">
        <v>2</v>
      </c>
      <c r="B16" s="9" t="s">
        <v>87</v>
      </c>
      <c r="E16" s="25">
        <f>F16+G16</f>
        <v>4114</v>
      </c>
      <c r="F16" s="145">
        <f>F99</f>
        <v>4114</v>
      </c>
      <c r="G16" s="145">
        <f>G99</f>
        <v>0</v>
      </c>
      <c r="H16" s="24" t="str">
        <f>IF(E16=F16+G16," ","ERROR")</f>
        <v xml:space="preserve"> </v>
      </c>
    </row>
    <row r="17" spans="1:8" ht="11.5">
      <c r="A17" s="15">
        <v>3</v>
      </c>
      <c r="B17" s="9" t="s">
        <v>37</v>
      </c>
      <c r="E17" s="26">
        <f>F17+G17</f>
        <v>105088</v>
      </c>
      <c r="F17" s="146">
        <f>F103-F99</f>
        <v>105088</v>
      </c>
      <c r="G17" s="146">
        <f>G103-G99</f>
        <v>0</v>
      </c>
      <c r="H17" s="24" t="str">
        <f>IF(E17=F17+G17," ","ERROR")</f>
        <v xml:space="preserve"> </v>
      </c>
    </row>
    <row r="18" spans="1:8" ht="11.5">
      <c r="A18" s="15">
        <v>4</v>
      </c>
      <c r="B18" s="9" t="s">
        <v>88</v>
      </c>
      <c r="E18" s="25">
        <f>SUM(E15:E17)</f>
        <v>261694</v>
      </c>
      <c r="F18" s="25">
        <f>SUM(F15:F17)</f>
        <v>261694</v>
      </c>
      <c r="G18" s="25">
        <f>SUM(G15:G17)</f>
        <v>0</v>
      </c>
      <c r="H18" s="24" t="str">
        <f>IF(E18=F18+G18," ","ERROR")</f>
        <v xml:space="preserve"> </v>
      </c>
    </row>
    <row r="19" spans="1:8" ht="11.5">
      <c r="A19" s="15"/>
      <c r="E19" s="25"/>
      <c r="F19" s="25"/>
      <c r="G19" s="25"/>
      <c r="H19" s="24"/>
    </row>
    <row r="20" spans="1:8" ht="11.5">
      <c r="A20" s="15"/>
      <c r="B20" s="9" t="s">
        <v>39</v>
      </c>
      <c r="E20" s="25"/>
      <c r="F20" s="25"/>
      <c r="G20" s="25"/>
      <c r="H20" s="24"/>
    </row>
    <row r="21" spans="1:8" ht="11.5">
      <c r="A21" s="15"/>
      <c r="B21" s="9" t="s">
        <v>212</v>
      </c>
      <c r="E21" s="25"/>
      <c r="F21" s="145"/>
      <c r="G21" s="145"/>
      <c r="H21" s="147" t="str">
        <f>IF(E21=F21+G21," ","ERROR")</f>
        <v xml:space="preserve"> </v>
      </c>
    </row>
    <row r="22" spans="1:8" ht="11.5">
      <c r="A22" s="15">
        <v>5</v>
      </c>
      <c r="B22" s="9" t="s">
        <v>89</v>
      </c>
      <c r="E22" s="25">
        <f>F22+G22</f>
        <v>164944</v>
      </c>
      <c r="F22" s="145">
        <f>F107</f>
        <v>164944</v>
      </c>
      <c r="G22" s="145">
        <f>G107</f>
        <v>0</v>
      </c>
      <c r="H22" s="24" t="str">
        <f>IF(E22=F22+G22," ","ERROR")</f>
        <v xml:space="preserve"> </v>
      </c>
    </row>
    <row r="23" spans="1:8" ht="11.5">
      <c r="A23" s="15">
        <v>6</v>
      </c>
      <c r="B23" s="9" t="s">
        <v>90</v>
      </c>
      <c r="E23" s="25">
        <f>F23+G23</f>
        <v>810</v>
      </c>
      <c r="F23" s="145">
        <f>F110+F111</f>
        <v>810</v>
      </c>
      <c r="G23" s="145">
        <f>G109+G110+G111</f>
        <v>0</v>
      </c>
      <c r="H23" s="24" t="str">
        <f>IF(E23=F23+G23," ","ERROR")</f>
        <v xml:space="preserve"> </v>
      </c>
    </row>
    <row r="24" spans="1:8" ht="11.5">
      <c r="A24" s="15">
        <v>7</v>
      </c>
      <c r="B24" s="9" t="s">
        <v>91</v>
      </c>
      <c r="E24" s="26">
        <f>F24+G24</f>
        <v>8665</v>
      </c>
      <c r="F24" s="146">
        <f>F108+F109-1</f>
        <v>8665</v>
      </c>
      <c r="G24" s="146">
        <f>G108</f>
        <v>0</v>
      </c>
      <c r="H24" s="24" t="str">
        <f>IF(E24=F24+G24," ","ERROR")</f>
        <v xml:space="preserve"> </v>
      </c>
    </row>
    <row r="25" spans="1:8" ht="11.5">
      <c r="A25" s="15">
        <v>8</v>
      </c>
      <c r="B25" s="9" t="s">
        <v>92</v>
      </c>
      <c r="E25" s="25">
        <f>SUM(E22:E24)</f>
        <v>174419</v>
      </c>
      <c r="F25" s="25">
        <f>SUM(F22:F24)</f>
        <v>174419</v>
      </c>
      <c r="G25" s="25">
        <f>SUM(G22:G24)</f>
        <v>0</v>
      </c>
      <c r="H25" s="24" t="str">
        <f>IF(E25=F25+G25," ","ERROR")</f>
        <v xml:space="preserve"> </v>
      </c>
    </row>
    <row r="26" spans="1:8" ht="11.5">
      <c r="A26" s="214"/>
      <c r="E26" s="25"/>
      <c r="F26" s="25"/>
      <c r="G26" s="25"/>
      <c r="H26" s="24"/>
    </row>
    <row r="27" spans="1:8" ht="11.5">
      <c r="A27" s="15"/>
      <c r="B27" s="9" t="s">
        <v>44</v>
      </c>
      <c r="E27" s="25"/>
      <c r="F27" s="25"/>
      <c r="G27" s="25"/>
      <c r="H27" s="24"/>
    </row>
    <row r="28" spans="1:8" ht="11.5">
      <c r="A28" s="15">
        <v>9</v>
      </c>
      <c r="B28" s="9" t="s">
        <v>93</v>
      </c>
      <c r="E28" s="25">
        <f>F28+G28</f>
        <v>833</v>
      </c>
      <c r="F28" s="145">
        <f>F118</f>
        <v>833</v>
      </c>
      <c r="G28" s="145">
        <f>G118</f>
        <v>0</v>
      </c>
      <c r="H28" s="24" t="str">
        <f>IF(E28=F28+G28," ","ERROR")</f>
        <v xml:space="preserve"> </v>
      </c>
    </row>
    <row r="29" spans="1:8" ht="11.5">
      <c r="A29" s="15">
        <v>10</v>
      </c>
      <c r="B29" s="9" t="s">
        <v>94</v>
      </c>
      <c r="E29" s="25">
        <f>F29+G29</f>
        <v>429</v>
      </c>
      <c r="F29" s="145">
        <f>F120+F121</f>
        <v>429</v>
      </c>
      <c r="G29" s="145">
        <f>G120+G121</f>
        <v>0</v>
      </c>
      <c r="H29" s="24" t="str">
        <f>IF(E29=F29+G29," ","ERROR")</f>
        <v xml:space="preserve"> </v>
      </c>
    </row>
    <row r="30" spans="1:8" ht="11.5">
      <c r="A30" s="15">
        <v>11</v>
      </c>
      <c r="B30" s="9" t="s">
        <v>95</v>
      </c>
      <c r="E30" s="26">
        <f>F30+G30</f>
        <v>292</v>
      </c>
      <c r="F30" s="146">
        <f>F122</f>
        <v>292</v>
      </c>
      <c r="G30" s="146">
        <f>G122</f>
        <v>0</v>
      </c>
      <c r="H30" s="24" t="str">
        <f>IF(E30=F30+G30," ","ERROR")</f>
        <v xml:space="preserve"> </v>
      </c>
    </row>
    <row r="31" spans="1:8" ht="11.5">
      <c r="A31" s="319">
        <v>12</v>
      </c>
      <c r="B31" s="9" t="s">
        <v>96</v>
      </c>
      <c r="E31" s="25">
        <f>SUM(E28:E30)</f>
        <v>1554</v>
      </c>
      <c r="F31" s="145">
        <f>SUM(F28:F30)</f>
        <v>1554</v>
      </c>
      <c r="G31" s="145">
        <f>SUM(G28:G30)</f>
        <v>0</v>
      </c>
      <c r="H31" s="24" t="str">
        <f>IF(E31=F31+G31," ","ERROR")</f>
        <v xml:space="preserve"> </v>
      </c>
    </row>
    <row r="32" spans="1:8" ht="11.5">
      <c r="A32" s="214"/>
      <c r="E32" s="25"/>
      <c r="F32" s="145"/>
      <c r="G32" s="145"/>
      <c r="H32" s="24"/>
    </row>
    <row r="33" spans="1:10" ht="11.5">
      <c r="A33" s="15"/>
      <c r="B33" s="9" t="s">
        <v>48</v>
      </c>
      <c r="E33" s="25"/>
      <c r="F33" s="145"/>
      <c r="G33" s="145"/>
      <c r="H33" s="24"/>
    </row>
    <row r="34" spans="1:10" ht="11.5">
      <c r="A34" s="15">
        <v>13</v>
      </c>
      <c r="B34" s="9" t="s">
        <v>93</v>
      </c>
      <c r="E34" s="25">
        <f>F34+G34</f>
        <v>11531</v>
      </c>
      <c r="F34" s="145">
        <f>F149</f>
        <v>11531</v>
      </c>
      <c r="G34" s="145">
        <f>G149</f>
        <v>0</v>
      </c>
      <c r="H34" s="24" t="str">
        <f t="shared" ref="H34:H41" si="0">IF(E34=F34+G34," ","ERROR")</f>
        <v xml:space="preserve"> </v>
      </c>
    </row>
    <row r="35" spans="1:10" ht="11.5">
      <c r="A35" s="15">
        <v>14</v>
      </c>
      <c r="B35" s="9" t="s">
        <v>94</v>
      </c>
      <c r="E35" s="25">
        <f>F35+G35</f>
        <v>8931</v>
      </c>
      <c r="F35" s="145">
        <f>F151</f>
        <v>8931</v>
      </c>
      <c r="G35" s="145">
        <f>G151</f>
        <v>0</v>
      </c>
      <c r="H35" s="24" t="str">
        <f t="shared" si="0"/>
        <v xml:space="preserve"> </v>
      </c>
    </row>
    <row r="36" spans="1:10" ht="11.5">
      <c r="A36" s="15">
        <v>15</v>
      </c>
      <c r="B36" s="9" t="s">
        <v>95</v>
      </c>
      <c r="E36" s="26">
        <f>F36+G36</f>
        <v>14014</v>
      </c>
      <c r="F36" s="146">
        <f>F152</f>
        <v>14014</v>
      </c>
      <c r="G36" s="146">
        <f>G152</f>
        <v>0</v>
      </c>
      <c r="H36" s="24" t="str">
        <f t="shared" si="0"/>
        <v xml:space="preserve"> </v>
      </c>
    </row>
    <row r="37" spans="1:10" ht="12" customHeight="1">
      <c r="A37" s="15">
        <v>16</v>
      </c>
      <c r="B37" s="9" t="s">
        <v>97</v>
      </c>
      <c r="E37" s="25">
        <f>SUM(E34:E36)</f>
        <v>34476</v>
      </c>
      <c r="F37" s="25">
        <f>SUM(F34:F36)</f>
        <v>34476</v>
      </c>
      <c r="G37" s="25">
        <f>SUM(G34:G36)</f>
        <v>0</v>
      </c>
      <c r="H37" s="24" t="str">
        <f t="shared" si="0"/>
        <v xml:space="preserve"> </v>
      </c>
    </row>
    <row r="38" spans="1:10" ht="12" customHeight="1">
      <c r="A38" s="15"/>
      <c r="E38" s="25"/>
      <c r="F38" s="25"/>
      <c r="G38" s="25"/>
      <c r="H38" s="24"/>
    </row>
    <row r="39" spans="1:10" ht="12" customHeight="1">
      <c r="A39" s="15">
        <v>17</v>
      </c>
      <c r="B39" s="9" t="s">
        <v>50</v>
      </c>
      <c r="E39" s="25">
        <f>F39+G39</f>
        <v>6595</v>
      </c>
      <c r="F39" s="145">
        <f>F163</f>
        <v>6595</v>
      </c>
      <c r="G39" s="145">
        <f>G163</f>
        <v>0</v>
      </c>
      <c r="H39" s="24" t="str">
        <f t="shared" si="0"/>
        <v xml:space="preserve"> </v>
      </c>
    </row>
    <row r="40" spans="1:10" ht="11.5">
      <c r="A40" s="15">
        <v>18</v>
      </c>
      <c r="B40" s="9" t="s">
        <v>51</v>
      </c>
      <c r="E40" s="25">
        <f>F40+G40</f>
        <v>5790</v>
      </c>
      <c r="F40" s="145">
        <f>F169-1</f>
        <v>5790</v>
      </c>
      <c r="G40" s="145">
        <f>G169</f>
        <v>0</v>
      </c>
      <c r="H40" s="24" t="str">
        <f t="shared" si="0"/>
        <v xml:space="preserve"> </v>
      </c>
    </row>
    <row r="41" spans="1:10" ht="11.5">
      <c r="A41" s="15">
        <v>19</v>
      </c>
      <c r="B41" s="9" t="s">
        <v>98</v>
      </c>
      <c r="E41" s="25">
        <f>F41+G41</f>
        <v>0</v>
      </c>
      <c r="F41" s="145">
        <f>F175</f>
        <v>0</v>
      </c>
      <c r="G41" s="145">
        <f>G175</f>
        <v>0</v>
      </c>
      <c r="H41" s="24" t="str">
        <f t="shared" si="0"/>
        <v xml:space="preserve"> </v>
      </c>
    </row>
    <row r="42" spans="1:10" ht="11.5">
      <c r="A42" s="214"/>
      <c r="E42" s="25"/>
      <c r="F42" s="145"/>
      <c r="G42" s="145"/>
      <c r="H42" s="24"/>
    </row>
    <row r="43" spans="1:10" ht="11.5">
      <c r="A43" s="15"/>
      <c r="B43" s="9" t="s">
        <v>99</v>
      </c>
      <c r="E43" s="25"/>
      <c r="F43" s="145"/>
      <c r="G43" s="145"/>
      <c r="H43" s="24"/>
    </row>
    <row r="44" spans="1:10" ht="11.5">
      <c r="A44" s="15">
        <v>20</v>
      </c>
      <c r="B44" s="9" t="s">
        <v>93</v>
      </c>
      <c r="E44" s="25">
        <f>F44+G44</f>
        <v>13388</v>
      </c>
      <c r="F44" s="145">
        <f>F189</f>
        <v>13388</v>
      </c>
      <c r="G44" s="145">
        <f>G189</f>
        <v>0</v>
      </c>
      <c r="H44" s="24" t="str">
        <f>IF(E44=F44+G44," ","ERROR")</f>
        <v xml:space="preserve"> </v>
      </c>
    </row>
    <row r="45" spans="1:10" ht="11.5">
      <c r="A45" s="15">
        <v>21</v>
      </c>
      <c r="B45" s="9" t="s">
        <v>426</v>
      </c>
      <c r="E45" s="25">
        <f>F45+G45</f>
        <v>5206</v>
      </c>
      <c r="F45" s="145">
        <f>F191+F192+F193+F194</f>
        <v>5206</v>
      </c>
      <c r="G45" s="145">
        <f>G191+G192+G193+G194</f>
        <v>0</v>
      </c>
      <c r="H45" s="24" t="str">
        <f>IF(E45=F45+G45," ","ERROR")</f>
        <v xml:space="preserve"> </v>
      </c>
      <c r="J45" s="25"/>
    </row>
    <row r="46" spans="1:10" ht="11.5">
      <c r="A46" s="276">
        <v>22</v>
      </c>
      <c r="B46" s="9" t="s">
        <v>424</v>
      </c>
      <c r="E46" s="25">
        <f>F46+G46</f>
        <v>0</v>
      </c>
      <c r="F46" s="145">
        <f>F195+F198+F199+F200+F201+F196</f>
        <v>0</v>
      </c>
      <c r="G46" s="145">
        <f>G195+G198+G199+G200+G201</f>
        <v>0</v>
      </c>
      <c r="H46" s="24"/>
      <c r="J46" s="25"/>
    </row>
    <row r="47" spans="1:10" ht="11.5">
      <c r="A47" s="15">
        <v>23</v>
      </c>
      <c r="B47" s="9" t="s">
        <v>95</v>
      </c>
      <c r="E47" s="26">
        <f>F47+G47</f>
        <v>0</v>
      </c>
      <c r="F47" s="146">
        <v>0</v>
      </c>
      <c r="G47" s="146">
        <v>0</v>
      </c>
      <c r="H47" s="24" t="str">
        <f>IF(E47=F47+G47," ","ERROR")</f>
        <v xml:space="preserve"> </v>
      </c>
    </row>
    <row r="48" spans="1:10" ht="11.5">
      <c r="A48" s="15">
        <v>24</v>
      </c>
      <c r="B48" s="9" t="s">
        <v>100</v>
      </c>
      <c r="E48" s="26">
        <f>SUM(E44:E47)</f>
        <v>18594</v>
      </c>
      <c r="F48" s="26">
        <f>SUM(F44:F47)</f>
        <v>18594</v>
      </c>
      <c r="G48" s="26">
        <f>SUM(G44:G47)</f>
        <v>0</v>
      </c>
      <c r="H48" s="24" t="str">
        <f>IF(E48=F48+G48," ","ERROR")</f>
        <v xml:space="preserve"> </v>
      </c>
    </row>
    <row r="49" spans="1:8" ht="11.5">
      <c r="A49" s="15">
        <v>25</v>
      </c>
      <c r="B49" s="9" t="s">
        <v>55</v>
      </c>
      <c r="E49" s="26">
        <f>E25+E31+E37+E39+E40+E41+E48+E21</f>
        <v>241428</v>
      </c>
      <c r="F49" s="26">
        <f>F25+F31+F37+F39+F40+F41+F48+F21</f>
        <v>241428</v>
      </c>
      <c r="G49" s="26">
        <f>G25+G31+G37+G39+G40+G41+G48+G21</f>
        <v>0</v>
      </c>
      <c r="H49" s="24" t="str">
        <f>IF(E49=F49+G49," ","ERROR")</f>
        <v xml:space="preserve"> </v>
      </c>
    </row>
    <row r="50" spans="1:8" ht="11.5">
      <c r="A50" s="15"/>
      <c r="E50" s="25"/>
      <c r="F50" s="25"/>
      <c r="G50" s="25"/>
      <c r="H50" s="24"/>
    </row>
    <row r="51" spans="1:8" ht="11.5">
      <c r="A51" s="15">
        <v>26</v>
      </c>
      <c r="B51" s="9" t="s">
        <v>101</v>
      </c>
      <c r="E51" s="34">
        <f>E18-E49</f>
        <v>20266</v>
      </c>
      <c r="F51" s="34">
        <f>F18-F49</f>
        <v>20266</v>
      </c>
      <c r="G51" s="34">
        <f>G18-G49</f>
        <v>0</v>
      </c>
      <c r="H51" s="24" t="str">
        <f>IF(E51=F51+G51," ","ERROR")</f>
        <v xml:space="preserve"> </v>
      </c>
    </row>
    <row r="52" spans="1:8" ht="12" customHeight="1">
      <c r="A52" s="15"/>
      <c r="E52" s="34"/>
      <c r="F52" s="34"/>
      <c r="G52" s="34"/>
      <c r="H52" s="24"/>
    </row>
    <row r="53" spans="1:8" ht="12" customHeight="1">
      <c r="A53" s="15"/>
      <c r="B53" s="9" t="s">
        <v>102</v>
      </c>
      <c r="E53" s="25"/>
      <c r="F53" s="25"/>
      <c r="G53" s="25"/>
      <c r="H53" s="24"/>
    </row>
    <row r="54" spans="1:8" ht="11.5">
      <c r="A54" s="15">
        <v>27</v>
      </c>
      <c r="B54" s="27" t="s">
        <v>103</v>
      </c>
      <c r="D54" s="28">
        <v>0.35</v>
      </c>
      <c r="E54" s="25">
        <f>F54+G54</f>
        <v>-6651</v>
      </c>
      <c r="F54" s="145">
        <f>F210</f>
        <v>-6651</v>
      </c>
      <c r="G54" s="145">
        <f>G210</f>
        <v>0</v>
      </c>
      <c r="H54" s="24" t="str">
        <f>IF(E54=F54+G54," ","ERROR")</f>
        <v xml:space="preserve"> </v>
      </c>
    </row>
    <row r="55" spans="1:8" ht="11.5">
      <c r="A55" s="214">
        <v>28</v>
      </c>
      <c r="B55" s="27" t="s">
        <v>250</v>
      </c>
      <c r="D55" s="28"/>
      <c r="E55" s="25"/>
      <c r="F55" s="145"/>
      <c r="G55" s="145"/>
      <c r="H55" s="24"/>
    </row>
    <row r="56" spans="1:8" ht="11.5">
      <c r="A56" s="15">
        <v>29</v>
      </c>
      <c r="B56" s="9" t="s">
        <v>104</v>
      </c>
      <c r="E56" s="25">
        <f>F56+G56</f>
        <v>12388</v>
      </c>
      <c r="F56" s="145">
        <f>F211</f>
        <v>12388</v>
      </c>
      <c r="G56" s="145">
        <f>G211</f>
        <v>0</v>
      </c>
      <c r="H56" s="24" t="str">
        <f>IF(E56=F56+G56," ","ERROR")</f>
        <v xml:space="preserve"> </v>
      </c>
    </row>
    <row r="57" spans="1:8" ht="11.5">
      <c r="A57" s="15">
        <v>30</v>
      </c>
      <c r="B57" s="9" t="s">
        <v>105</v>
      </c>
      <c r="E57" s="26">
        <f>F57+G57</f>
        <v>-20</v>
      </c>
      <c r="F57" s="146">
        <f>F212</f>
        <v>-20</v>
      </c>
      <c r="G57" s="146">
        <f>G212</f>
        <v>0</v>
      </c>
      <c r="H57" s="24" t="str">
        <f>IF(E57=F57+G57," ","ERROR")</f>
        <v xml:space="preserve"> </v>
      </c>
    </row>
    <row r="58" spans="1:8" ht="11.5">
      <c r="A58" s="15"/>
      <c r="G58" s="30"/>
      <c r="H58" s="24"/>
    </row>
    <row r="59" spans="1:8" ht="12" thickBot="1">
      <c r="A59" s="15">
        <v>31</v>
      </c>
      <c r="B59" s="31" t="s">
        <v>61</v>
      </c>
      <c r="E59" s="35">
        <f>E51-(+E54+E56+E57)</f>
        <v>14549</v>
      </c>
      <c r="F59" s="35">
        <f>F51-(F54+F56+F57)</f>
        <v>14549</v>
      </c>
      <c r="G59" s="35">
        <f>G51-(G54+G56+G57)</f>
        <v>0</v>
      </c>
      <c r="H59" s="24" t="str">
        <f>IF(E59=F59+G59," ","ERROR")</f>
        <v xml:space="preserve"> </v>
      </c>
    </row>
    <row r="60" spans="1:8" ht="12" thickTop="1">
      <c r="A60" s="15"/>
      <c r="E60" s="16"/>
      <c r="F60" s="16"/>
      <c r="G60" s="16"/>
      <c r="H60" s="24"/>
    </row>
    <row r="61" spans="1:8" ht="11.5">
      <c r="A61" s="15"/>
      <c r="B61" s="27" t="s">
        <v>106</v>
      </c>
      <c r="G61" s="30"/>
      <c r="H61" s="24"/>
    </row>
    <row r="62" spans="1:8" ht="11.5">
      <c r="A62" s="15"/>
      <c r="B62" s="27" t="s">
        <v>107</v>
      </c>
      <c r="G62" s="30"/>
      <c r="H62" s="24"/>
    </row>
    <row r="63" spans="1:8" ht="11.5">
      <c r="A63" s="15">
        <v>32</v>
      </c>
      <c r="B63" s="9" t="s">
        <v>108</v>
      </c>
      <c r="E63" s="23">
        <f>F63+G63</f>
        <v>25622</v>
      </c>
      <c r="F63" s="144">
        <f>F230</f>
        <v>25622</v>
      </c>
      <c r="G63" s="144">
        <f>G230</f>
        <v>0</v>
      </c>
      <c r="H63" s="24" t="str">
        <f t="shared" ref="H63:H76" si="1">IF(E63=F63+G63," ","ERROR")</f>
        <v xml:space="preserve"> </v>
      </c>
    </row>
    <row r="64" spans="1:8" ht="11.5">
      <c r="A64" s="15">
        <v>33</v>
      </c>
      <c r="B64" s="9" t="s">
        <v>109</v>
      </c>
      <c r="E64" s="25">
        <f>F64+G64</f>
        <v>354360</v>
      </c>
      <c r="F64" s="145">
        <f>F246</f>
        <v>354360</v>
      </c>
      <c r="G64" s="145">
        <f>G246</f>
        <v>0</v>
      </c>
      <c r="H64" s="24" t="str">
        <f t="shared" si="1"/>
        <v xml:space="preserve"> </v>
      </c>
    </row>
    <row r="65" spans="1:8" ht="11.5">
      <c r="A65" s="15">
        <v>34</v>
      </c>
      <c r="B65" s="9" t="s">
        <v>110</v>
      </c>
      <c r="E65" s="26">
        <f>F65+G65</f>
        <v>69725</v>
      </c>
      <c r="F65" s="146">
        <f>F259+F219</f>
        <v>69725</v>
      </c>
      <c r="G65" s="146">
        <f>G259+G219</f>
        <v>0</v>
      </c>
      <c r="H65" s="24" t="str">
        <f t="shared" si="1"/>
        <v xml:space="preserve"> </v>
      </c>
    </row>
    <row r="66" spans="1:8" ht="11.5">
      <c r="A66" s="15">
        <v>35</v>
      </c>
      <c r="B66" s="9" t="s">
        <v>111</v>
      </c>
      <c r="E66" s="25">
        <f>SUM(E63:E65)</f>
        <v>449707</v>
      </c>
      <c r="F66" s="145">
        <f>SUM(F63:F65)</f>
        <v>449707</v>
      </c>
      <c r="G66" s="145">
        <f>SUM(G63:G65)</f>
        <v>0</v>
      </c>
      <c r="H66" s="24" t="str">
        <f t="shared" si="1"/>
        <v xml:space="preserve"> </v>
      </c>
    </row>
    <row r="67" spans="1:8" ht="11.5">
      <c r="A67" s="214"/>
      <c r="E67" s="25"/>
      <c r="F67" s="145"/>
      <c r="G67" s="145"/>
      <c r="H67" s="24"/>
    </row>
    <row r="68" spans="1:8" ht="11.5">
      <c r="A68" s="15"/>
      <c r="B68" s="9" t="s">
        <v>427</v>
      </c>
      <c r="E68" s="25"/>
      <c r="F68" s="145"/>
      <c r="G68" s="145"/>
      <c r="H68" s="24" t="str">
        <f t="shared" si="1"/>
        <v xml:space="preserve"> </v>
      </c>
    </row>
    <row r="69" spans="1:8" ht="11.5">
      <c r="A69" s="15">
        <v>36</v>
      </c>
      <c r="B69" s="9" t="s">
        <v>108</v>
      </c>
      <c r="E69" s="25">
        <f>F69+G69</f>
        <v>-9824</v>
      </c>
      <c r="F69" s="145">
        <f>F265+F273</f>
        <v>-9824</v>
      </c>
      <c r="G69" s="145">
        <f>G265+G273</f>
        <v>0</v>
      </c>
      <c r="H69" s="24" t="str">
        <f t="shared" si="1"/>
        <v xml:space="preserve"> </v>
      </c>
    </row>
    <row r="70" spans="1:8" ht="11.5">
      <c r="A70" s="15">
        <v>37</v>
      </c>
      <c r="B70" s="9" t="s">
        <v>109</v>
      </c>
      <c r="E70" s="25">
        <f>F70+G70</f>
        <v>-119790</v>
      </c>
      <c r="F70" s="145">
        <f>F266</f>
        <v>-119790</v>
      </c>
      <c r="G70" s="145">
        <f>G266</f>
        <v>0</v>
      </c>
      <c r="H70" s="24" t="str">
        <f t="shared" si="1"/>
        <v xml:space="preserve"> </v>
      </c>
    </row>
    <row r="71" spans="1:8" ht="11.5">
      <c r="A71" s="15">
        <v>38</v>
      </c>
      <c r="B71" s="9" t="s">
        <v>110</v>
      </c>
      <c r="E71" s="26">
        <f>F71+G71</f>
        <v>-19460</v>
      </c>
      <c r="F71" s="146">
        <f>F267+F271+F272+F274</f>
        <v>-19460</v>
      </c>
      <c r="G71" s="146">
        <f>G267+G271+G272+G274</f>
        <v>0</v>
      </c>
      <c r="H71" s="24" t="str">
        <f t="shared" si="1"/>
        <v xml:space="preserve"> </v>
      </c>
    </row>
    <row r="72" spans="1:8" ht="11.5">
      <c r="A72" s="15">
        <v>39</v>
      </c>
      <c r="B72" s="9" t="s">
        <v>428</v>
      </c>
      <c r="E72" s="279">
        <f>SUM(E69:E71)</f>
        <v>-149074</v>
      </c>
      <c r="F72" s="279">
        <f>SUM(F69:F71)</f>
        <v>-149074</v>
      </c>
      <c r="G72" s="279">
        <f>SUM(G69:G71)</f>
        <v>0</v>
      </c>
      <c r="H72" s="24" t="str">
        <f t="shared" si="1"/>
        <v xml:space="preserve"> </v>
      </c>
    </row>
    <row r="73" spans="1:8" ht="11.5">
      <c r="A73" s="214">
        <v>40</v>
      </c>
      <c r="B73" s="9" t="s">
        <v>179</v>
      </c>
      <c r="E73" s="25">
        <f>E66+E72</f>
        <v>300633</v>
      </c>
      <c r="F73" s="25">
        <f>F66+F72</f>
        <v>300633</v>
      </c>
      <c r="G73" s="25">
        <f>G66+G72</f>
        <v>0</v>
      </c>
      <c r="H73" s="24"/>
    </row>
    <row r="74" spans="1:8" ht="11.5">
      <c r="A74" s="15">
        <v>41</v>
      </c>
      <c r="B74" s="27" t="s">
        <v>112</v>
      </c>
      <c r="E74" s="280">
        <f>F74+G74</f>
        <v>-65675</v>
      </c>
      <c r="F74" s="280">
        <f>F286</f>
        <v>-65675</v>
      </c>
      <c r="G74" s="280">
        <f>G286</f>
        <v>0</v>
      </c>
      <c r="H74" s="24" t="str">
        <f t="shared" si="1"/>
        <v xml:space="preserve"> </v>
      </c>
    </row>
    <row r="75" spans="1:8" ht="11.5">
      <c r="A75" s="214">
        <v>42</v>
      </c>
      <c r="B75" s="196" t="s">
        <v>211</v>
      </c>
      <c r="E75" s="25">
        <f>E73+E74</f>
        <v>234958</v>
      </c>
      <c r="F75" s="25">
        <f>F73+F74</f>
        <v>234958</v>
      </c>
      <c r="G75" s="25">
        <f>G73+G74</f>
        <v>0</v>
      </c>
      <c r="H75" s="24"/>
    </row>
    <row r="76" spans="1:8" ht="11.5">
      <c r="A76" s="15">
        <v>43</v>
      </c>
      <c r="B76" s="9" t="s">
        <v>68</v>
      </c>
      <c r="E76" s="25">
        <f t="shared" ref="E76:E79" si="2">F76+G76</f>
        <v>15143</v>
      </c>
      <c r="F76" s="25">
        <f>F293+F294</f>
        <v>15143</v>
      </c>
      <c r="G76" s="25">
        <f>G293+G294</f>
        <v>0</v>
      </c>
      <c r="H76" s="24" t="str">
        <f t="shared" si="1"/>
        <v xml:space="preserve"> </v>
      </c>
    </row>
    <row r="77" spans="1:8" ht="11.5">
      <c r="A77" s="15">
        <v>44</v>
      </c>
      <c r="B77" s="27" t="s">
        <v>69</v>
      </c>
      <c r="E77" s="25">
        <f t="shared" si="2"/>
        <v>0</v>
      </c>
      <c r="F77" s="30">
        <f>F291+F292</f>
        <v>0</v>
      </c>
      <c r="G77" s="30">
        <f>G291+G292</f>
        <v>0</v>
      </c>
      <c r="H77" s="24" t="str">
        <f>IF(E79=F79+G79," ","ERROR")</f>
        <v xml:space="preserve"> </v>
      </c>
    </row>
    <row r="78" spans="1:8" ht="11.5">
      <c r="A78" s="276">
        <v>45</v>
      </c>
      <c r="B78" s="27" t="s">
        <v>432</v>
      </c>
      <c r="E78" s="25">
        <f t="shared" si="2"/>
        <v>-509</v>
      </c>
      <c r="F78" s="30">
        <f>F295+F296</f>
        <v>-509</v>
      </c>
      <c r="G78" s="30">
        <f>G295+G296</f>
        <v>0</v>
      </c>
      <c r="H78" s="24"/>
    </row>
    <row r="79" spans="1:8" ht="11.5">
      <c r="A79" s="15">
        <v>46</v>
      </c>
      <c r="B79" s="38" t="s">
        <v>183</v>
      </c>
      <c r="E79" s="26">
        <f t="shared" si="2"/>
        <v>9797</v>
      </c>
      <c r="F79" s="26">
        <f>F297</f>
        <v>9797</v>
      </c>
      <c r="G79" s="26">
        <f>G297</f>
        <v>0</v>
      </c>
      <c r="H79" s="24"/>
    </row>
    <row r="80" spans="1:8" ht="11.15" customHeight="1">
      <c r="G80" s="30"/>
    </row>
    <row r="81" spans="1:10" ht="9" customHeight="1">
      <c r="A81" s="15"/>
      <c r="B81" s="9" t="s">
        <v>113</v>
      </c>
      <c r="G81" s="30"/>
      <c r="H81" s="24"/>
    </row>
    <row r="82" spans="1:10" ht="12" thickBot="1">
      <c r="A82" s="15">
        <v>47</v>
      </c>
      <c r="B82" s="31" t="s">
        <v>70</v>
      </c>
      <c r="E82" s="32">
        <f>E75+E76+E79+E77+E78</f>
        <v>259389</v>
      </c>
      <c r="F82" s="32">
        <f>F75+F76+F79+F77+F78</f>
        <v>259389</v>
      </c>
      <c r="G82" s="32">
        <f>G75+G76+G79+G77+G78</f>
        <v>0</v>
      </c>
      <c r="H82" s="24" t="str">
        <f>IF(E82=F82+G82," ","ERROR")</f>
        <v xml:space="preserve"> </v>
      </c>
    </row>
    <row r="83" spans="1:10" ht="11.15" customHeight="1" thickTop="1">
      <c r="E83" s="16"/>
      <c r="F83" s="16"/>
      <c r="G83" s="16"/>
    </row>
    <row r="84" spans="1:10" ht="11.15" customHeight="1">
      <c r="E84" s="33">
        <f>E59/E82</f>
        <v>5.6089502638893708E-2</v>
      </c>
      <c r="F84" s="33">
        <f>F59/F82</f>
        <v>5.6089502638893708E-2</v>
      </c>
      <c r="G84" s="33"/>
    </row>
    <row r="86" spans="1:10" ht="11.15" customHeight="1">
      <c r="A86" s="292"/>
      <c r="B86" s="293" t="s">
        <v>34</v>
      </c>
      <c r="J86" s="483" t="s">
        <v>34</v>
      </c>
    </row>
    <row r="87" spans="1:10" ht="11.15" customHeight="1">
      <c r="A87" s="292"/>
      <c r="B87" s="294" t="s">
        <v>251</v>
      </c>
      <c r="J87" s="484" t="s">
        <v>251</v>
      </c>
    </row>
    <row r="88" spans="1:10" ht="11.15" customHeight="1">
      <c r="A88" s="295">
        <v>480000</v>
      </c>
      <c r="B88" s="294" t="s">
        <v>252</v>
      </c>
      <c r="F88" s="30">
        <f>ROUND(H88/1000,0)</f>
        <v>98959</v>
      </c>
      <c r="H88" s="149">
        <v>98959005</v>
      </c>
      <c r="I88" s="149">
        <v>98959005</v>
      </c>
      <c r="J88" s="484" t="s">
        <v>252</v>
      </c>
    </row>
    <row r="89" spans="1:10" ht="11.15" customHeight="1">
      <c r="A89" s="295" t="s">
        <v>253</v>
      </c>
      <c r="B89" s="294" t="s">
        <v>254</v>
      </c>
      <c r="F89" s="30">
        <f t="shared" ref="F89:F153" si="3">ROUND(H89/1000,0)</f>
        <v>51196</v>
      </c>
      <c r="H89" s="149">
        <v>51195842</v>
      </c>
      <c r="I89" s="149">
        <v>51195842</v>
      </c>
      <c r="J89" s="484" t="s">
        <v>254</v>
      </c>
    </row>
    <row r="90" spans="1:10" ht="11.15" customHeight="1">
      <c r="A90" s="295" t="s">
        <v>255</v>
      </c>
      <c r="B90" s="294" t="s">
        <v>256</v>
      </c>
      <c r="F90" s="30">
        <f t="shared" si="3"/>
        <v>2008</v>
      </c>
      <c r="H90" s="149">
        <v>2007521</v>
      </c>
      <c r="I90" s="149">
        <v>2007521</v>
      </c>
      <c r="J90" s="484" t="s">
        <v>256</v>
      </c>
    </row>
    <row r="91" spans="1:10" ht="11.15" customHeight="1">
      <c r="A91" s="295">
        <v>481400</v>
      </c>
      <c r="B91" s="294" t="s">
        <v>257</v>
      </c>
      <c r="F91" s="30">
        <f t="shared" si="3"/>
        <v>0</v>
      </c>
      <c r="H91" s="149">
        <v>0</v>
      </c>
      <c r="I91" s="149">
        <v>0</v>
      </c>
      <c r="J91" s="484" t="s">
        <v>257</v>
      </c>
    </row>
    <row r="92" spans="1:10" ht="11.15" customHeight="1">
      <c r="A92" s="295">
        <v>484000</v>
      </c>
      <c r="B92" s="294" t="s">
        <v>260</v>
      </c>
      <c r="F92" s="30">
        <f t="shared" si="3"/>
        <v>242</v>
      </c>
      <c r="H92" s="149">
        <v>241580</v>
      </c>
      <c r="I92" s="149">
        <v>241580</v>
      </c>
      <c r="J92" s="484" t="s">
        <v>260</v>
      </c>
    </row>
    <row r="93" spans="1:10" ht="11.15" customHeight="1">
      <c r="A93" s="292" t="s">
        <v>258</v>
      </c>
      <c r="B93" s="294" t="s">
        <v>259</v>
      </c>
      <c r="F93" s="30">
        <f t="shared" si="3"/>
        <v>88</v>
      </c>
      <c r="H93" s="149">
        <v>88066</v>
      </c>
      <c r="I93" s="149">
        <v>88066</v>
      </c>
      <c r="J93" s="484" t="s">
        <v>259</v>
      </c>
    </row>
    <row r="94" spans="1:10" ht="11.15" customHeight="1">
      <c r="A94" s="292"/>
      <c r="B94" s="294" t="s">
        <v>261</v>
      </c>
      <c r="F94" s="30">
        <f t="shared" si="3"/>
        <v>152492</v>
      </c>
      <c r="H94" s="149">
        <v>152492014</v>
      </c>
      <c r="I94" s="149">
        <v>152492014</v>
      </c>
      <c r="J94" s="484" t="s">
        <v>261</v>
      </c>
    </row>
    <row r="95" spans="1:10" ht="11.15" customHeight="1">
      <c r="A95" s="292"/>
      <c r="B95" s="294"/>
      <c r="F95" s="30">
        <f t="shared" si="3"/>
        <v>0</v>
      </c>
      <c r="H95" s="149"/>
      <c r="I95" s="149"/>
      <c r="J95" s="484"/>
    </row>
    <row r="96" spans="1:10" ht="11.15" customHeight="1">
      <c r="A96" s="292"/>
      <c r="B96" s="294" t="s">
        <v>262</v>
      </c>
      <c r="F96" s="30">
        <f t="shared" si="3"/>
        <v>0</v>
      </c>
      <c r="H96" s="149"/>
      <c r="I96" s="149"/>
      <c r="J96" s="484" t="s">
        <v>262</v>
      </c>
    </row>
    <row r="97" spans="1:10" ht="11.15" customHeight="1">
      <c r="A97" s="296">
        <v>483000</v>
      </c>
      <c r="B97" s="297" t="s">
        <v>263</v>
      </c>
      <c r="F97" s="30">
        <f t="shared" si="3"/>
        <v>96364</v>
      </c>
      <c r="H97" s="149">
        <v>96364261</v>
      </c>
      <c r="I97" s="149">
        <v>96364261</v>
      </c>
      <c r="J97" s="485" t="s">
        <v>263</v>
      </c>
    </row>
    <row r="98" spans="1:10" ht="11.15" customHeight="1">
      <c r="A98" s="295">
        <v>488000</v>
      </c>
      <c r="B98" s="294" t="s">
        <v>264</v>
      </c>
      <c r="F98" s="30">
        <f t="shared" si="3"/>
        <v>8</v>
      </c>
      <c r="H98" s="149">
        <v>7633</v>
      </c>
      <c r="I98" s="149">
        <v>7633</v>
      </c>
      <c r="J98" s="484" t="s">
        <v>264</v>
      </c>
    </row>
    <row r="99" spans="1:10" ht="11.15" customHeight="1">
      <c r="A99" s="295">
        <v>489300</v>
      </c>
      <c r="B99" s="294" t="s">
        <v>265</v>
      </c>
      <c r="F99" s="30">
        <f t="shared" si="3"/>
        <v>4114</v>
      </c>
      <c r="H99" s="149">
        <v>4114038</v>
      </c>
      <c r="I99" s="149">
        <v>4114038</v>
      </c>
      <c r="J99" s="484" t="s">
        <v>488</v>
      </c>
    </row>
    <row r="100" spans="1:10" ht="11.15" customHeight="1">
      <c r="A100" s="295">
        <v>493000</v>
      </c>
      <c r="B100" s="294" t="s">
        <v>266</v>
      </c>
      <c r="F100" s="30">
        <f t="shared" si="3"/>
        <v>2</v>
      </c>
      <c r="H100" s="149">
        <v>2428</v>
      </c>
      <c r="I100" s="149">
        <v>2428</v>
      </c>
      <c r="J100" s="484" t="s">
        <v>266</v>
      </c>
    </row>
    <row r="101" spans="1:10" ht="11.15" customHeight="1">
      <c r="A101" s="295">
        <v>495000</v>
      </c>
      <c r="B101" s="294" t="s">
        <v>267</v>
      </c>
      <c r="F101" s="30">
        <f t="shared" si="3"/>
        <v>8714</v>
      </c>
      <c r="H101" s="149">
        <v>8713935</v>
      </c>
      <c r="I101" s="149">
        <v>8713935</v>
      </c>
      <c r="J101" s="484" t="s">
        <v>267</v>
      </c>
    </row>
    <row r="102" spans="1:10" ht="11.15" customHeight="1">
      <c r="A102" s="295">
        <v>496100</v>
      </c>
      <c r="B102" s="294" t="s">
        <v>483</v>
      </c>
      <c r="F102" s="30">
        <f t="shared" si="3"/>
        <v>0</v>
      </c>
      <c r="H102" s="149">
        <v>0</v>
      </c>
      <c r="I102" s="149">
        <v>0</v>
      </c>
      <c r="J102" s="484" t="s">
        <v>483</v>
      </c>
    </row>
    <row r="103" spans="1:10" ht="11.15" customHeight="1">
      <c r="A103" s="292"/>
      <c r="B103" s="294" t="s">
        <v>268</v>
      </c>
      <c r="F103" s="30">
        <f t="shared" si="3"/>
        <v>109202</v>
      </c>
      <c r="H103" s="149">
        <v>109202295</v>
      </c>
      <c r="I103" s="149">
        <v>109202295</v>
      </c>
      <c r="J103" s="484" t="s">
        <v>268</v>
      </c>
    </row>
    <row r="104" spans="1:10" ht="11.15" customHeight="1">
      <c r="A104" s="292"/>
      <c r="B104" s="294" t="s">
        <v>269</v>
      </c>
      <c r="F104" s="30">
        <f t="shared" si="3"/>
        <v>261694</v>
      </c>
      <c r="H104" s="149">
        <v>261694309</v>
      </c>
      <c r="I104" s="149">
        <v>261694309</v>
      </c>
      <c r="J104" s="484" t="s">
        <v>269</v>
      </c>
    </row>
    <row r="105" spans="1:10" ht="11.15" customHeight="1">
      <c r="A105" s="292"/>
      <c r="B105" s="294"/>
      <c r="F105" s="30">
        <f t="shared" si="3"/>
        <v>0</v>
      </c>
      <c r="H105" s="149"/>
      <c r="I105" s="149"/>
      <c r="J105" s="484"/>
    </row>
    <row r="106" spans="1:10" ht="11.15" customHeight="1">
      <c r="A106" s="292"/>
      <c r="B106" s="294" t="s">
        <v>270</v>
      </c>
      <c r="F106" s="30">
        <f t="shared" si="3"/>
        <v>0</v>
      </c>
      <c r="H106" s="149"/>
      <c r="I106" s="149"/>
      <c r="J106" s="484" t="s">
        <v>270</v>
      </c>
    </row>
    <row r="107" spans="1:10" ht="11.15" customHeight="1">
      <c r="A107" s="298" t="s">
        <v>271</v>
      </c>
      <c r="B107" s="294" t="s">
        <v>40</v>
      </c>
      <c r="F107" s="30">
        <f t="shared" si="3"/>
        <v>164944</v>
      </c>
      <c r="H107" s="149">
        <v>164943759</v>
      </c>
      <c r="I107" s="149">
        <v>164943759</v>
      </c>
      <c r="J107" s="484" t="s">
        <v>40</v>
      </c>
    </row>
    <row r="108" spans="1:10" ht="11.15" customHeight="1">
      <c r="A108" s="295" t="s">
        <v>272</v>
      </c>
      <c r="B108" s="294" t="s">
        <v>273</v>
      </c>
      <c r="F108" s="30">
        <f t="shared" si="3"/>
        <v>9012</v>
      </c>
      <c r="H108" s="149">
        <v>9011541</v>
      </c>
      <c r="I108" s="149">
        <v>9011541</v>
      </c>
      <c r="J108" s="484" t="s">
        <v>273</v>
      </c>
    </row>
    <row r="109" spans="1:10" ht="11.15" customHeight="1">
      <c r="A109" s="296">
        <v>811000</v>
      </c>
      <c r="B109" s="297" t="s">
        <v>274</v>
      </c>
      <c r="F109" s="30">
        <f t="shared" si="3"/>
        <v>-346</v>
      </c>
      <c r="H109" s="149">
        <v>-346260</v>
      </c>
      <c r="I109" s="149">
        <v>-346260</v>
      </c>
      <c r="J109" s="485" t="s">
        <v>274</v>
      </c>
    </row>
    <row r="110" spans="1:10" ht="11.15" customHeight="1">
      <c r="A110" s="295">
        <v>813000</v>
      </c>
      <c r="B110" s="294" t="s">
        <v>275</v>
      </c>
      <c r="F110" s="30">
        <f t="shared" si="3"/>
        <v>743</v>
      </c>
      <c r="H110" s="149">
        <v>742891</v>
      </c>
      <c r="I110" s="149">
        <v>742891</v>
      </c>
      <c r="J110" s="484" t="s">
        <v>275</v>
      </c>
    </row>
    <row r="111" spans="1:10" ht="11.15" customHeight="1">
      <c r="A111" s="295">
        <v>813010</v>
      </c>
      <c r="B111" s="294" t="s">
        <v>276</v>
      </c>
      <c r="F111" s="30">
        <f t="shared" si="3"/>
        <v>67</v>
      </c>
      <c r="H111" s="149">
        <v>66588</v>
      </c>
      <c r="I111" s="149">
        <v>66588</v>
      </c>
      <c r="J111" s="484" t="s">
        <v>276</v>
      </c>
    </row>
    <row r="112" spans="1:10" ht="11.15" customHeight="1">
      <c r="A112" s="292"/>
      <c r="B112" s="294" t="s">
        <v>277</v>
      </c>
      <c r="F112" s="30">
        <f t="shared" si="3"/>
        <v>174419</v>
      </c>
      <c r="H112" s="149">
        <v>174418519</v>
      </c>
      <c r="I112" s="149">
        <v>174418519</v>
      </c>
      <c r="J112" s="484" t="s">
        <v>277</v>
      </c>
    </row>
    <row r="113" spans="1:10" ht="11.15" customHeight="1">
      <c r="A113" s="292"/>
      <c r="B113" s="294"/>
      <c r="F113" s="30">
        <f t="shared" si="3"/>
        <v>0</v>
      </c>
      <c r="H113" s="149"/>
      <c r="I113" s="149"/>
      <c r="J113" s="484"/>
    </row>
    <row r="114" spans="1:10" ht="11.15" customHeight="1">
      <c r="A114" s="292"/>
      <c r="B114" s="294" t="s">
        <v>278</v>
      </c>
      <c r="F114" s="30">
        <f t="shared" si="3"/>
        <v>0</v>
      </c>
      <c r="H114" s="149"/>
      <c r="I114" s="149"/>
      <c r="J114" s="484" t="s">
        <v>278</v>
      </c>
    </row>
    <row r="115" spans="1:10" ht="11.15" customHeight="1">
      <c r="A115" s="295">
        <v>814000</v>
      </c>
      <c r="B115" s="294" t="s">
        <v>279</v>
      </c>
      <c r="F115" s="30">
        <f t="shared" si="3"/>
        <v>8</v>
      </c>
      <c r="H115" s="149">
        <v>7600</v>
      </c>
      <c r="I115" s="149">
        <v>7600</v>
      </c>
      <c r="J115" s="484" t="s">
        <v>279</v>
      </c>
    </row>
    <row r="116" spans="1:10" ht="11.15" customHeight="1">
      <c r="A116" s="295">
        <v>824000</v>
      </c>
      <c r="B116" s="294" t="s">
        <v>280</v>
      </c>
      <c r="F116" s="30">
        <f t="shared" si="3"/>
        <v>429</v>
      </c>
      <c r="H116" s="149">
        <v>428517</v>
      </c>
      <c r="I116" s="149">
        <v>428517</v>
      </c>
      <c r="J116" s="484" t="s">
        <v>280</v>
      </c>
    </row>
    <row r="117" spans="1:10" ht="11.15" customHeight="1">
      <c r="A117" s="295">
        <v>837000</v>
      </c>
      <c r="B117" s="294" t="s">
        <v>281</v>
      </c>
      <c r="F117" s="30">
        <f t="shared" si="3"/>
        <v>397</v>
      </c>
      <c r="H117" s="149">
        <v>396850</v>
      </c>
      <c r="I117" s="149">
        <v>396850</v>
      </c>
      <c r="J117" s="484" t="s">
        <v>281</v>
      </c>
    </row>
    <row r="118" spans="1:10" ht="11.15" customHeight="1">
      <c r="A118" s="292"/>
      <c r="B118" s="294" t="s">
        <v>282</v>
      </c>
      <c r="F118" s="30">
        <f t="shared" si="3"/>
        <v>833</v>
      </c>
      <c r="H118" s="149">
        <v>832967</v>
      </c>
      <c r="I118" s="149">
        <v>832967</v>
      </c>
      <c r="J118" s="484" t="s">
        <v>282</v>
      </c>
    </row>
    <row r="119" spans="1:10" ht="11.15" customHeight="1">
      <c r="A119" s="292"/>
      <c r="B119" s="294"/>
      <c r="F119" s="30">
        <f t="shared" si="3"/>
        <v>0</v>
      </c>
      <c r="H119" s="149"/>
      <c r="I119" s="149"/>
      <c r="J119" s="484"/>
    </row>
    <row r="120" spans="1:10" ht="11.15" customHeight="1">
      <c r="A120" s="293"/>
      <c r="B120" s="294" t="s">
        <v>283</v>
      </c>
      <c r="F120" s="30">
        <f t="shared" si="3"/>
        <v>429</v>
      </c>
      <c r="H120" s="149">
        <v>429051</v>
      </c>
      <c r="I120" s="149">
        <v>429051</v>
      </c>
      <c r="J120" s="484" t="s">
        <v>283</v>
      </c>
    </row>
    <row r="121" spans="1:10" ht="11.15" customHeight="1">
      <c r="A121" s="293"/>
      <c r="B121" s="294" t="s">
        <v>284</v>
      </c>
      <c r="F121" s="30">
        <f t="shared" si="3"/>
        <v>0</v>
      </c>
      <c r="H121" s="149">
        <v>161</v>
      </c>
      <c r="I121" s="149">
        <v>161</v>
      </c>
      <c r="J121" s="484" t="s">
        <v>284</v>
      </c>
    </row>
    <row r="122" spans="1:10" ht="11.15" customHeight="1">
      <c r="A122" s="292"/>
      <c r="B122" s="294" t="s">
        <v>285</v>
      </c>
      <c r="F122" s="30">
        <f t="shared" si="3"/>
        <v>292</v>
      </c>
      <c r="H122" s="149">
        <v>291829</v>
      </c>
      <c r="I122" s="149">
        <v>291829</v>
      </c>
      <c r="J122" s="484" t="s">
        <v>285</v>
      </c>
    </row>
    <row r="123" spans="1:10" ht="11.15" customHeight="1">
      <c r="A123" s="292"/>
      <c r="B123" s="294" t="s">
        <v>286</v>
      </c>
      <c r="F123" s="30">
        <f t="shared" si="3"/>
        <v>721</v>
      </c>
      <c r="H123" s="149">
        <v>721041</v>
      </c>
      <c r="I123" s="149">
        <v>721041</v>
      </c>
      <c r="J123" s="484" t="s">
        <v>286</v>
      </c>
    </row>
    <row r="124" spans="1:10" ht="11.15" customHeight="1">
      <c r="A124" s="292"/>
      <c r="B124" s="294"/>
      <c r="F124" s="30">
        <f t="shared" si="3"/>
        <v>0</v>
      </c>
      <c r="H124" s="149"/>
      <c r="I124" s="149"/>
      <c r="J124" s="484"/>
    </row>
    <row r="125" spans="1:10" ht="11.15" customHeight="1">
      <c r="A125" s="292"/>
      <c r="B125" s="294" t="s">
        <v>287</v>
      </c>
      <c r="F125" s="30">
        <f t="shared" si="3"/>
        <v>1554</v>
      </c>
      <c r="H125" s="149">
        <v>1554008</v>
      </c>
      <c r="I125" s="149">
        <v>1554008</v>
      </c>
      <c r="J125" s="484" t="s">
        <v>287</v>
      </c>
    </row>
    <row r="126" spans="1:10" ht="11.15" customHeight="1">
      <c r="A126" s="292"/>
      <c r="B126" s="294"/>
      <c r="F126" s="30">
        <f t="shared" si="3"/>
        <v>0</v>
      </c>
      <c r="H126" s="149"/>
      <c r="I126" s="149"/>
      <c r="J126" s="484"/>
    </row>
    <row r="127" spans="1:10" ht="11.15" customHeight="1">
      <c r="A127" s="292"/>
      <c r="B127" s="294" t="s">
        <v>288</v>
      </c>
      <c r="F127" s="30">
        <f t="shared" si="3"/>
        <v>0</v>
      </c>
      <c r="H127" s="149"/>
      <c r="I127" s="149"/>
      <c r="J127" s="484" t="s">
        <v>288</v>
      </c>
    </row>
    <row r="128" spans="1:10" ht="11.15" customHeight="1">
      <c r="A128" s="292"/>
      <c r="B128" s="294" t="s">
        <v>289</v>
      </c>
      <c r="F128" s="30">
        <f t="shared" si="3"/>
        <v>0</v>
      </c>
      <c r="H128" s="149"/>
      <c r="I128" s="149"/>
      <c r="J128" s="484" t="s">
        <v>289</v>
      </c>
    </row>
    <row r="129" spans="1:15" ht="11.15" customHeight="1">
      <c r="A129" s="295">
        <v>870000</v>
      </c>
      <c r="B129" s="294" t="s">
        <v>279</v>
      </c>
      <c r="F129" s="30">
        <f t="shared" si="3"/>
        <v>1150</v>
      </c>
      <c r="H129" s="149">
        <v>1150398</v>
      </c>
      <c r="I129" s="149">
        <v>1150398</v>
      </c>
      <c r="J129" s="484" t="s">
        <v>279</v>
      </c>
    </row>
    <row r="130" spans="1:15" ht="11.15" customHeight="1">
      <c r="A130" s="295">
        <v>871000</v>
      </c>
      <c r="B130" s="294" t="s">
        <v>290</v>
      </c>
      <c r="F130" s="30">
        <f t="shared" si="3"/>
        <v>0</v>
      </c>
      <c r="H130" s="149">
        <v>0</v>
      </c>
      <c r="I130" s="149">
        <v>0</v>
      </c>
      <c r="J130" s="484" t="s">
        <v>290</v>
      </c>
    </row>
    <row r="131" spans="1:15" ht="11.15" customHeight="1">
      <c r="A131" s="295">
        <v>874000</v>
      </c>
      <c r="B131" s="294" t="s">
        <v>291</v>
      </c>
      <c r="F131" s="30">
        <f t="shared" si="3"/>
        <v>3044</v>
      </c>
      <c r="H131" s="149">
        <v>3044465</v>
      </c>
      <c r="I131" s="149">
        <v>3044465</v>
      </c>
      <c r="J131" s="484" t="s">
        <v>291</v>
      </c>
      <c r="N131" s="141"/>
    </row>
    <row r="132" spans="1:15" ht="11.15" customHeight="1" thickBot="1">
      <c r="A132" s="295">
        <v>875000</v>
      </c>
      <c r="B132" s="294" t="s">
        <v>292</v>
      </c>
      <c r="F132" s="30">
        <f t="shared" si="3"/>
        <v>69</v>
      </c>
      <c r="H132" s="149">
        <v>68695</v>
      </c>
      <c r="I132" s="149">
        <v>68695</v>
      </c>
      <c r="J132" s="484" t="s">
        <v>292</v>
      </c>
      <c r="N132" s="142"/>
      <c r="O132" s="143"/>
    </row>
    <row r="133" spans="1:15" ht="11.15" customHeight="1" thickTop="1">
      <c r="A133" s="295">
        <v>876000</v>
      </c>
      <c r="B133" s="294" t="s">
        <v>293</v>
      </c>
      <c r="F133" s="30">
        <f t="shared" si="3"/>
        <v>2</v>
      </c>
      <c r="H133" s="149">
        <v>1861</v>
      </c>
      <c r="I133" s="149">
        <v>1861</v>
      </c>
      <c r="J133" s="484" t="s">
        <v>293</v>
      </c>
    </row>
    <row r="134" spans="1:15" ht="11.15" customHeight="1">
      <c r="A134" s="295">
        <v>877000</v>
      </c>
      <c r="B134" s="294" t="s">
        <v>294</v>
      </c>
      <c r="F134" s="30">
        <f t="shared" si="3"/>
        <v>63</v>
      </c>
      <c r="H134" s="149">
        <v>62870</v>
      </c>
      <c r="I134" s="149">
        <v>62870</v>
      </c>
      <c r="J134" s="484" t="s">
        <v>294</v>
      </c>
    </row>
    <row r="135" spans="1:15" ht="11.15" customHeight="1">
      <c r="A135" s="295">
        <v>878000</v>
      </c>
      <c r="B135" s="294" t="s">
        <v>295</v>
      </c>
      <c r="F135" s="30">
        <f t="shared" si="3"/>
        <v>624</v>
      </c>
      <c r="H135" s="149">
        <v>623782</v>
      </c>
      <c r="I135" s="149">
        <v>623782</v>
      </c>
      <c r="J135" s="484" t="s">
        <v>295</v>
      </c>
    </row>
    <row r="136" spans="1:15" ht="11.15" customHeight="1">
      <c r="A136" s="295">
        <v>879000</v>
      </c>
      <c r="B136" s="294" t="s">
        <v>296</v>
      </c>
      <c r="F136" s="30">
        <f t="shared" si="3"/>
        <v>1223</v>
      </c>
      <c r="H136" s="149">
        <v>1223301</v>
      </c>
      <c r="I136" s="149">
        <v>1223301</v>
      </c>
      <c r="J136" s="484" t="s">
        <v>296</v>
      </c>
    </row>
    <row r="137" spans="1:15" ht="11.15" customHeight="1">
      <c r="A137" s="295">
        <v>880000</v>
      </c>
      <c r="B137" s="294" t="s">
        <v>280</v>
      </c>
      <c r="F137" s="30">
        <f t="shared" si="3"/>
        <v>1432</v>
      </c>
      <c r="H137" s="149">
        <v>1431741</v>
      </c>
      <c r="I137" s="149">
        <v>1431741</v>
      </c>
      <c r="J137" s="484" t="s">
        <v>280</v>
      </c>
    </row>
    <row r="138" spans="1:15" ht="11.15" customHeight="1">
      <c r="A138" s="295">
        <v>881000</v>
      </c>
      <c r="B138" s="294" t="s">
        <v>297</v>
      </c>
      <c r="F138" s="30">
        <f t="shared" si="3"/>
        <v>29</v>
      </c>
      <c r="H138" s="149">
        <v>29444</v>
      </c>
      <c r="I138" s="149">
        <v>29444</v>
      </c>
      <c r="J138" s="484" t="s">
        <v>297</v>
      </c>
    </row>
    <row r="139" spans="1:15" ht="11.15" customHeight="1">
      <c r="A139" s="292"/>
      <c r="B139" s="294"/>
      <c r="F139" s="30">
        <f t="shared" si="3"/>
        <v>0</v>
      </c>
      <c r="H139" s="149"/>
      <c r="I139" s="149"/>
      <c r="J139" s="484"/>
    </row>
    <row r="140" spans="1:15" ht="11.15" customHeight="1">
      <c r="A140" s="292"/>
      <c r="B140" s="294" t="s">
        <v>298</v>
      </c>
      <c r="F140" s="30">
        <f t="shared" si="3"/>
        <v>0</v>
      </c>
      <c r="H140" s="149"/>
      <c r="I140" s="149"/>
      <c r="J140" s="484" t="s">
        <v>298</v>
      </c>
    </row>
    <row r="141" spans="1:15" ht="11.15" customHeight="1">
      <c r="A141" s="295">
        <v>885000</v>
      </c>
      <c r="B141" s="294" t="s">
        <v>279</v>
      </c>
      <c r="F141" s="30">
        <f t="shared" si="3"/>
        <v>42</v>
      </c>
      <c r="H141" s="149">
        <v>42372</v>
      </c>
      <c r="I141" s="149">
        <v>42372</v>
      </c>
      <c r="J141" s="484" t="s">
        <v>279</v>
      </c>
    </row>
    <row r="142" spans="1:15" ht="11.15" customHeight="1">
      <c r="A142" s="295">
        <v>887000</v>
      </c>
      <c r="B142" s="294" t="s">
        <v>299</v>
      </c>
      <c r="F142" s="30">
        <f t="shared" si="3"/>
        <v>1106</v>
      </c>
      <c r="H142" s="149">
        <v>1105683</v>
      </c>
      <c r="I142" s="149">
        <v>1105683</v>
      </c>
      <c r="J142" s="484" t="s">
        <v>299</v>
      </c>
    </row>
    <row r="143" spans="1:15" ht="11.15" customHeight="1">
      <c r="A143" s="295">
        <v>889000</v>
      </c>
      <c r="B143" s="294" t="s">
        <v>292</v>
      </c>
      <c r="F143" s="30">
        <f t="shared" si="3"/>
        <v>210</v>
      </c>
      <c r="H143" s="149">
        <v>209918</v>
      </c>
      <c r="I143" s="149">
        <v>209918</v>
      </c>
      <c r="J143" s="484" t="s">
        <v>292</v>
      </c>
    </row>
    <row r="144" spans="1:15" ht="11.15" customHeight="1">
      <c r="A144" s="295">
        <v>890000</v>
      </c>
      <c r="B144" s="294" t="s">
        <v>293</v>
      </c>
      <c r="F144" s="30">
        <f t="shared" si="3"/>
        <v>81</v>
      </c>
      <c r="H144" s="149">
        <v>81358</v>
      </c>
      <c r="I144" s="149">
        <v>81358</v>
      </c>
      <c r="J144" s="484" t="s">
        <v>293</v>
      </c>
    </row>
    <row r="145" spans="1:10" ht="11.15" customHeight="1">
      <c r="A145" s="295">
        <v>891000</v>
      </c>
      <c r="B145" s="294" t="s">
        <v>294</v>
      </c>
      <c r="F145" s="30">
        <f t="shared" si="3"/>
        <v>37</v>
      </c>
      <c r="H145" s="149">
        <v>37464</v>
      </c>
      <c r="I145" s="149">
        <v>37464</v>
      </c>
      <c r="J145" s="484" t="s">
        <v>294</v>
      </c>
    </row>
    <row r="146" spans="1:10" ht="11.15" customHeight="1">
      <c r="A146" s="295">
        <v>892000</v>
      </c>
      <c r="B146" s="294" t="s">
        <v>300</v>
      </c>
      <c r="F146" s="30">
        <f t="shared" si="3"/>
        <v>964</v>
      </c>
      <c r="H146" s="149">
        <v>964294</v>
      </c>
      <c r="I146" s="149">
        <v>964294</v>
      </c>
      <c r="J146" s="484" t="s">
        <v>300</v>
      </c>
    </row>
    <row r="147" spans="1:10" ht="11.15" customHeight="1">
      <c r="A147" s="295">
        <v>893000</v>
      </c>
      <c r="B147" s="294" t="s">
        <v>301</v>
      </c>
      <c r="F147" s="30">
        <f t="shared" si="3"/>
        <v>1329</v>
      </c>
      <c r="H147" s="149">
        <v>1328834</v>
      </c>
      <c r="I147" s="149">
        <v>1328834</v>
      </c>
      <c r="J147" s="484" t="s">
        <v>301</v>
      </c>
    </row>
    <row r="148" spans="1:10" ht="11.15" customHeight="1">
      <c r="A148" s="295">
        <v>894000</v>
      </c>
      <c r="B148" s="294" t="s">
        <v>281</v>
      </c>
      <c r="F148" s="30">
        <f t="shared" si="3"/>
        <v>124</v>
      </c>
      <c r="H148" s="149">
        <v>124368</v>
      </c>
      <c r="I148" s="149">
        <v>124368</v>
      </c>
      <c r="J148" s="484" t="s">
        <v>281</v>
      </c>
    </row>
    <row r="149" spans="1:10" ht="11.15" customHeight="1">
      <c r="A149" s="292"/>
      <c r="B149" s="294" t="s">
        <v>302</v>
      </c>
      <c r="F149" s="30">
        <f t="shared" si="3"/>
        <v>11531</v>
      </c>
      <c r="H149" s="149">
        <v>11530848</v>
      </c>
      <c r="I149" s="149">
        <v>11530848</v>
      </c>
      <c r="J149" s="484" t="s">
        <v>302</v>
      </c>
    </row>
    <row r="150" spans="1:10" ht="11.15" customHeight="1">
      <c r="A150" s="292"/>
      <c r="B150" s="294"/>
      <c r="F150" s="30">
        <f t="shared" si="3"/>
        <v>0</v>
      </c>
      <c r="H150" s="149"/>
      <c r="I150" s="149"/>
      <c r="J150" s="484"/>
    </row>
    <row r="151" spans="1:10" ht="11.15" customHeight="1">
      <c r="A151" s="292"/>
      <c r="B151" s="294" t="s">
        <v>303</v>
      </c>
      <c r="F151" s="30">
        <f t="shared" si="3"/>
        <v>8931</v>
      </c>
      <c r="H151" s="149">
        <v>8931242</v>
      </c>
      <c r="I151" s="149">
        <v>8931242</v>
      </c>
      <c r="J151" s="484" t="s">
        <v>303</v>
      </c>
    </row>
    <row r="152" spans="1:10" ht="11.15" customHeight="1">
      <c r="A152" s="292"/>
      <c r="B152" s="294" t="s">
        <v>285</v>
      </c>
      <c r="F152" s="30">
        <f t="shared" si="3"/>
        <v>14014</v>
      </c>
      <c r="H152" s="149">
        <v>14013959</v>
      </c>
      <c r="I152" s="149">
        <v>14013959</v>
      </c>
      <c r="J152" s="484" t="s">
        <v>285</v>
      </c>
    </row>
    <row r="153" spans="1:10" ht="11.15" customHeight="1">
      <c r="A153" s="292"/>
      <c r="B153" s="294" t="s">
        <v>304</v>
      </c>
      <c r="F153" s="30">
        <f t="shared" si="3"/>
        <v>22945</v>
      </c>
      <c r="H153" s="149">
        <v>22945201</v>
      </c>
      <c r="I153" s="149">
        <v>22945201</v>
      </c>
      <c r="J153" s="484" t="s">
        <v>304</v>
      </c>
    </row>
    <row r="154" spans="1:10" ht="11.15" customHeight="1">
      <c r="A154" s="292"/>
      <c r="B154" s="294"/>
      <c r="F154" s="30">
        <f t="shared" ref="F154:F219" si="4">ROUND(H154/1000,0)</f>
        <v>0</v>
      </c>
      <c r="H154" s="149"/>
      <c r="I154" s="149"/>
      <c r="J154" s="484"/>
    </row>
    <row r="155" spans="1:10" ht="11.15" customHeight="1">
      <c r="A155" s="292"/>
      <c r="B155" s="294" t="s">
        <v>305</v>
      </c>
      <c r="F155" s="30">
        <f t="shared" si="4"/>
        <v>34476</v>
      </c>
      <c r="H155" s="149">
        <v>34476049</v>
      </c>
      <c r="I155" s="149">
        <v>34476049</v>
      </c>
      <c r="J155" s="484" t="s">
        <v>305</v>
      </c>
    </row>
    <row r="156" spans="1:10" ht="11.15" customHeight="1">
      <c r="A156" s="292"/>
      <c r="B156" s="294"/>
      <c r="F156" s="30">
        <f t="shared" si="4"/>
        <v>0</v>
      </c>
      <c r="H156" s="149"/>
      <c r="I156" s="149"/>
      <c r="J156" s="484"/>
    </row>
    <row r="157" spans="1:10" ht="11.15" customHeight="1">
      <c r="A157" s="292"/>
      <c r="B157" s="294" t="s">
        <v>306</v>
      </c>
      <c r="F157" s="30">
        <f t="shared" si="4"/>
        <v>0</v>
      </c>
      <c r="H157" s="149"/>
      <c r="I157" s="149"/>
      <c r="J157" s="484" t="s">
        <v>306</v>
      </c>
    </row>
    <row r="158" spans="1:10" ht="11.15" customHeight="1">
      <c r="A158" s="295">
        <v>901000</v>
      </c>
      <c r="B158" s="294" t="s">
        <v>307</v>
      </c>
      <c r="F158" s="30">
        <f t="shared" si="4"/>
        <v>144</v>
      </c>
      <c r="H158" s="149">
        <v>143794</v>
      </c>
      <c r="I158" s="149">
        <v>143794</v>
      </c>
      <c r="J158" s="484" t="s">
        <v>307</v>
      </c>
    </row>
    <row r="159" spans="1:10" ht="11.15" customHeight="1">
      <c r="A159" s="295">
        <v>902000</v>
      </c>
      <c r="B159" s="294" t="s">
        <v>308</v>
      </c>
      <c r="F159" s="30">
        <f t="shared" si="4"/>
        <v>1657</v>
      </c>
      <c r="H159" s="149">
        <v>1657008</v>
      </c>
      <c r="I159" s="149">
        <v>1657008</v>
      </c>
      <c r="J159" s="484" t="s">
        <v>308</v>
      </c>
    </row>
    <row r="160" spans="1:10" ht="11.15" customHeight="1">
      <c r="A160" s="295" t="s">
        <v>309</v>
      </c>
      <c r="B160" s="294" t="s">
        <v>310</v>
      </c>
      <c r="F160" s="30">
        <f t="shared" si="4"/>
        <v>3469</v>
      </c>
      <c r="H160" s="149">
        <v>3468744</v>
      </c>
      <c r="I160" s="149">
        <v>3468744</v>
      </c>
      <c r="J160" s="484" t="s">
        <v>310</v>
      </c>
    </row>
    <row r="161" spans="1:10" ht="11.15" customHeight="1">
      <c r="A161" s="295">
        <v>904000</v>
      </c>
      <c r="B161" s="294" t="s">
        <v>311</v>
      </c>
      <c r="F161" s="30">
        <f t="shared" si="4"/>
        <v>1230</v>
      </c>
      <c r="H161" s="149">
        <v>1230366</v>
      </c>
      <c r="I161" s="149">
        <v>1230366</v>
      </c>
      <c r="J161" s="484" t="s">
        <v>311</v>
      </c>
    </row>
    <row r="162" spans="1:10" ht="11.15" customHeight="1">
      <c r="A162" s="295">
        <v>905000</v>
      </c>
      <c r="B162" s="294" t="s">
        <v>312</v>
      </c>
      <c r="F162" s="30">
        <f t="shared" si="4"/>
        <v>95</v>
      </c>
      <c r="H162" s="149">
        <v>95308</v>
      </c>
      <c r="I162" s="149">
        <v>95308</v>
      </c>
      <c r="J162" s="484" t="s">
        <v>312</v>
      </c>
    </row>
    <row r="163" spans="1:10" ht="11.15" customHeight="1">
      <c r="A163" s="292"/>
      <c r="B163" s="294" t="s">
        <v>313</v>
      </c>
      <c r="F163" s="30">
        <f t="shared" si="4"/>
        <v>6595</v>
      </c>
      <c r="H163" s="149">
        <v>6595220</v>
      </c>
      <c r="I163" s="149">
        <v>6595220</v>
      </c>
      <c r="J163" s="484" t="s">
        <v>313</v>
      </c>
    </row>
    <row r="164" spans="1:10" ht="11.15" customHeight="1">
      <c r="A164" s="292"/>
      <c r="B164" s="294"/>
      <c r="F164" s="30">
        <f t="shared" si="4"/>
        <v>0</v>
      </c>
      <c r="H164" s="149"/>
      <c r="I164" s="149"/>
      <c r="J164" s="484"/>
    </row>
    <row r="165" spans="1:10" ht="11.15" customHeight="1">
      <c r="A165" s="292"/>
      <c r="B165" s="294" t="s">
        <v>314</v>
      </c>
      <c r="F165" s="30">
        <f t="shared" si="4"/>
        <v>0</v>
      </c>
      <c r="H165" s="149"/>
      <c r="I165" s="149"/>
      <c r="J165" s="484" t="s">
        <v>314</v>
      </c>
    </row>
    <row r="166" spans="1:10" ht="11.15" customHeight="1">
      <c r="A166" s="295" t="s">
        <v>315</v>
      </c>
      <c r="B166" s="294" t="s">
        <v>316</v>
      </c>
      <c r="F166" s="30">
        <f t="shared" si="4"/>
        <v>5388</v>
      </c>
      <c r="H166" s="149">
        <v>5388210</v>
      </c>
      <c r="I166" s="149">
        <v>5388210</v>
      </c>
      <c r="J166" s="484" t="s">
        <v>316</v>
      </c>
    </row>
    <row r="167" spans="1:10" ht="11.15" customHeight="1">
      <c r="A167" s="295">
        <v>909000</v>
      </c>
      <c r="B167" s="294" t="s">
        <v>317</v>
      </c>
      <c r="F167" s="30">
        <f t="shared" si="4"/>
        <v>352</v>
      </c>
      <c r="H167" s="149">
        <v>352149</v>
      </c>
      <c r="I167" s="149">
        <v>352149</v>
      </c>
      <c r="J167" s="484" t="s">
        <v>317</v>
      </c>
    </row>
    <row r="168" spans="1:10" ht="11.15" customHeight="1">
      <c r="A168" s="295">
        <v>910000</v>
      </c>
      <c r="B168" s="294" t="s">
        <v>318</v>
      </c>
      <c r="F168" s="30">
        <f t="shared" si="4"/>
        <v>50</v>
      </c>
      <c r="H168" s="149">
        <v>50161</v>
      </c>
      <c r="I168" s="149">
        <v>50161</v>
      </c>
      <c r="J168" s="484" t="s">
        <v>318</v>
      </c>
    </row>
    <row r="169" spans="1:10" ht="11.15" customHeight="1">
      <c r="A169" s="292"/>
      <c r="B169" s="294" t="s">
        <v>319</v>
      </c>
      <c r="F169" s="30">
        <f t="shared" si="4"/>
        <v>5791</v>
      </c>
      <c r="H169" s="149">
        <v>5790520</v>
      </c>
      <c r="I169" s="149">
        <v>5790520</v>
      </c>
      <c r="J169" s="484" t="s">
        <v>319</v>
      </c>
    </row>
    <row r="170" spans="1:10" ht="11.15" customHeight="1">
      <c r="A170" s="292"/>
      <c r="B170" s="294"/>
      <c r="F170" s="30">
        <f t="shared" si="4"/>
        <v>0</v>
      </c>
      <c r="H170" s="149"/>
      <c r="I170" s="149"/>
      <c r="J170" s="484"/>
    </row>
    <row r="171" spans="1:10" ht="11.15" customHeight="1">
      <c r="A171" s="292"/>
      <c r="B171" s="294" t="s">
        <v>320</v>
      </c>
      <c r="F171" s="30">
        <f t="shared" si="4"/>
        <v>0</v>
      </c>
      <c r="H171" s="149"/>
      <c r="I171" s="149"/>
      <c r="J171" s="484" t="s">
        <v>320</v>
      </c>
    </row>
    <row r="172" spans="1:10" ht="11.15" customHeight="1">
      <c r="A172" s="295">
        <v>912000</v>
      </c>
      <c r="B172" s="294" t="s">
        <v>321</v>
      </c>
      <c r="F172" s="30">
        <f t="shared" si="4"/>
        <v>0</v>
      </c>
      <c r="H172" s="149">
        <v>0</v>
      </c>
      <c r="I172" s="149">
        <v>0</v>
      </c>
      <c r="J172" s="484" t="s">
        <v>321</v>
      </c>
    </row>
    <row r="173" spans="1:10" ht="11.15" customHeight="1">
      <c r="A173" s="295">
        <v>913000</v>
      </c>
      <c r="B173" s="294" t="s">
        <v>317</v>
      </c>
      <c r="F173" s="30">
        <f t="shared" si="4"/>
        <v>0</v>
      </c>
      <c r="H173" s="149">
        <v>0</v>
      </c>
      <c r="I173" s="149">
        <v>0</v>
      </c>
      <c r="J173" s="484" t="s">
        <v>317</v>
      </c>
    </row>
    <row r="174" spans="1:10" ht="11.15" customHeight="1">
      <c r="A174" s="295">
        <v>916000</v>
      </c>
      <c r="B174" s="294" t="s">
        <v>322</v>
      </c>
      <c r="F174" s="30">
        <f t="shared" si="4"/>
        <v>0</v>
      </c>
      <c r="H174" s="149">
        <v>0</v>
      </c>
      <c r="I174" s="149">
        <v>0</v>
      </c>
      <c r="J174" s="484" t="s">
        <v>322</v>
      </c>
    </row>
    <row r="175" spans="1:10" ht="11.15" customHeight="1">
      <c r="A175" s="292"/>
      <c r="B175" s="294" t="s">
        <v>323</v>
      </c>
      <c r="F175" s="30">
        <f t="shared" si="4"/>
        <v>0</v>
      </c>
      <c r="H175" s="149">
        <v>0</v>
      </c>
      <c r="I175" s="149">
        <v>0</v>
      </c>
      <c r="J175" s="484" t="s">
        <v>323</v>
      </c>
    </row>
    <row r="176" spans="1:10" ht="11.15" customHeight="1">
      <c r="A176" s="292"/>
      <c r="B176" s="294"/>
      <c r="F176" s="30">
        <f t="shared" si="4"/>
        <v>0</v>
      </c>
      <c r="H176" s="149"/>
      <c r="I176" s="149"/>
      <c r="J176" s="484"/>
    </row>
    <row r="177" spans="1:10" ht="11.15" customHeight="1">
      <c r="A177" s="292"/>
      <c r="B177" s="294" t="s">
        <v>324</v>
      </c>
      <c r="F177" s="30">
        <f t="shared" si="4"/>
        <v>0</v>
      </c>
      <c r="H177" s="149"/>
      <c r="I177" s="149"/>
      <c r="J177" s="484" t="s">
        <v>324</v>
      </c>
    </row>
    <row r="178" spans="1:10" ht="11.15" customHeight="1">
      <c r="A178" s="295">
        <v>920000</v>
      </c>
      <c r="B178" s="294" t="s">
        <v>325</v>
      </c>
      <c r="F178" s="30">
        <f t="shared" si="4"/>
        <v>5390</v>
      </c>
      <c r="H178" s="149">
        <v>5390088</v>
      </c>
      <c r="I178" s="149">
        <v>5390088</v>
      </c>
      <c r="J178" s="484" t="s">
        <v>325</v>
      </c>
    </row>
    <row r="179" spans="1:10" ht="11.15" customHeight="1">
      <c r="A179" s="295">
        <v>921000</v>
      </c>
      <c r="B179" s="294" t="s">
        <v>326</v>
      </c>
      <c r="F179" s="30">
        <f t="shared" si="4"/>
        <v>814</v>
      </c>
      <c r="H179" s="149">
        <v>813945</v>
      </c>
      <c r="I179" s="149">
        <v>813945</v>
      </c>
      <c r="J179" s="484" t="s">
        <v>326</v>
      </c>
    </row>
    <row r="180" spans="1:10" ht="11.15" customHeight="1">
      <c r="A180" s="295">
        <v>922000</v>
      </c>
      <c r="B180" s="294" t="s">
        <v>327</v>
      </c>
      <c r="F180" s="30">
        <f t="shared" si="4"/>
        <v>-14</v>
      </c>
      <c r="H180" s="149">
        <v>-13645</v>
      </c>
      <c r="I180" s="149">
        <v>-13645</v>
      </c>
      <c r="J180" s="484" t="s">
        <v>327</v>
      </c>
    </row>
    <row r="181" spans="1:10" ht="11.15" customHeight="1">
      <c r="A181" s="295">
        <v>923000</v>
      </c>
      <c r="B181" s="294" t="s">
        <v>328</v>
      </c>
      <c r="F181" s="30">
        <f t="shared" si="4"/>
        <v>2106</v>
      </c>
      <c r="H181" s="149">
        <v>2105817</v>
      </c>
      <c r="I181" s="149">
        <v>2105817</v>
      </c>
      <c r="J181" s="484" t="s">
        <v>328</v>
      </c>
    </row>
    <row r="182" spans="1:10" ht="11.15" customHeight="1">
      <c r="A182" s="295">
        <v>924000</v>
      </c>
      <c r="B182" s="294" t="s">
        <v>329</v>
      </c>
      <c r="F182" s="30">
        <f t="shared" si="4"/>
        <v>232</v>
      </c>
      <c r="H182" s="149">
        <v>231734</v>
      </c>
      <c r="I182" s="149">
        <v>231734</v>
      </c>
      <c r="J182" s="484" t="s">
        <v>329</v>
      </c>
    </row>
    <row r="183" spans="1:10" ht="11.15" customHeight="1">
      <c r="A183" s="292" t="s">
        <v>330</v>
      </c>
      <c r="B183" s="294" t="s">
        <v>331</v>
      </c>
      <c r="F183" s="30">
        <f t="shared" si="4"/>
        <v>653</v>
      </c>
      <c r="H183" s="149">
        <v>653242</v>
      </c>
      <c r="I183" s="149">
        <v>653242</v>
      </c>
      <c r="J183" s="484" t="s">
        <v>331</v>
      </c>
    </row>
    <row r="184" spans="1:10" ht="11.15" customHeight="1">
      <c r="A184" s="292" t="s">
        <v>332</v>
      </c>
      <c r="B184" s="294" t="s">
        <v>333</v>
      </c>
      <c r="F184" s="30">
        <f t="shared" si="4"/>
        <v>447</v>
      </c>
      <c r="H184" s="149">
        <v>447093</v>
      </c>
      <c r="I184" s="149">
        <v>447093</v>
      </c>
      <c r="J184" s="484" t="s">
        <v>333</v>
      </c>
    </row>
    <row r="185" spans="1:10" ht="11.15" customHeight="1">
      <c r="A185" s="295">
        <v>928000</v>
      </c>
      <c r="B185" s="294" t="s">
        <v>334</v>
      </c>
      <c r="F185" s="30">
        <f t="shared" si="4"/>
        <v>762</v>
      </c>
      <c r="H185" s="149">
        <v>761939</v>
      </c>
      <c r="I185" s="149">
        <v>761939</v>
      </c>
      <c r="J185" s="484" t="s">
        <v>334</v>
      </c>
    </row>
    <row r="186" spans="1:10" ht="11.15" customHeight="1">
      <c r="A186" s="295">
        <v>930000</v>
      </c>
      <c r="B186" s="294" t="s">
        <v>335</v>
      </c>
      <c r="F186" s="30">
        <f t="shared" si="4"/>
        <v>807</v>
      </c>
      <c r="H186" s="149">
        <v>806641</v>
      </c>
      <c r="I186" s="149">
        <v>806641</v>
      </c>
      <c r="J186" s="484" t="s">
        <v>335</v>
      </c>
    </row>
    <row r="187" spans="1:10" ht="11.15" customHeight="1">
      <c r="A187" s="295">
        <v>931000</v>
      </c>
      <c r="B187" s="294" t="s">
        <v>297</v>
      </c>
      <c r="F187" s="30">
        <f t="shared" si="4"/>
        <v>195</v>
      </c>
      <c r="H187" s="149">
        <v>194720</v>
      </c>
      <c r="I187" s="149">
        <v>194720</v>
      </c>
      <c r="J187" s="484" t="s">
        <v>297</v>
      </c>
    </row>
    <row r="188" spans="1:10" ht="11.15" customHeight="1">
      <c r="A188" s="295">
        <v>935000</v>
      </c>
      <c r="B188" s="294" t="s">
        <v>336</v>
      </c>
      <c r="F188" s="30">
        <f t="shared" si="4"/>
        <v>1997</v>
      </c>
      <c r="H188" s="149">
        <v>1996802</v>
      </c>
      <c r="I188" s="149">
        <v>1996802</v>
      </c>
      <c r="J188" s="484" t="s">
        <v>336</v>
      </c>
    </row>
    <row r="189" spans="1:10" ht="11.15" customHeight="1">
      <c r="A189" s="292"/>
      <c r="B189" s="294" t="s">
        <v>337</v>
      </c>
      <c r="F189" s="30">
        <f t="shared" si="4"/>
        <v>13388</v>
      </c>
      <c r="H189" s="149">
        <v>13388376</v>
      </c>
      <c r="I189" s="149">
        <v>13388376</v>
      </c>
      <c r="J189" s="484" t="s">
        <v>337</v>
      </c>
    </row>
    <row r="190" spans="1:10" ht="11.15" customHeight="1">
      <c r="A190" s="292"/>
      <c r="B190" s="294"/>
      <c r="F190" s="30">
        <f t="shared" si="4"/>
        <v>0</v>
      </c>
      <c r="H190" s="149"/>
      <c r="I190" s="149"/>
      <c r="J190" s="484"/>
    </row>
    <row r="191" spans="1:10" ht="11.15" customHeight="1">
      <c r="A191" s="292"/>
      <c r="B191" s="294" t="s">
        <v>338</v>
      </c>
      <c r="F191" s="30">
        <f t="shared" si="4"/>
        <v>2650</v>
      </c>
      <c r="H191" s="149">
        <v>2650443</v>
      </c>
      <c r="I191" s="149">
        <v>2650443</v>
      </c>
      <c r="J191" s="484" t="s">
        <v>338</v>
      </c>
    </row>
    <row r="192" spans="1:10" ht="11.15" customHeight="1">
      <c r="A192" s="292"/>
      <c r="B192" s="294" t="s">
        <v>339</v>
      </c>
      <c r="F192" s="30">
        <f t="shared" si="4"/>
        <v>108</v>
      </c>
      <c r="H192" s="149">
        <v>108076</v>
      </c>
      <c r="I192" s="149">
        <v>108076</v>
      </c>
      <c r="J192" s="484" t="s">
        <v>339</v>
      </c>
    </row>
    <row r="193" spans="1:10" ht="11.15" customHeight="1">
      <c r="A193" s="292"/>
      <c r="B193" s="294" t="s">
        <v>340</v>
      </c>
      <c r="F193" s="30">
        <f t="shared" si="4"/>
        <v>2444</v>
      </c>
      <c r="H193" s="149">
        <v>2443909</v>
      </c>
      <c r="I193" s="149">
        <v>2443909</v>
      </c>
      <c r="J193" s="484" t="s">
        <v>340</v>
      </c>
    </row>
    <row r="194" spans="1:10" ht="11.15" customHeight="1">
      <c r="A194" s="293"/>
      <c r="B194" s="294" t="s">
        <v>341</v>
      </c>
      <c r="F194" s="30">
        <f t="shared" si="4"/>
        <v>4</v>
      </c>
      <c r="H194" s="149">
        <v>3878</v>
      </c>
      <c r="I194" s="149">
        <v>3878</v>
      </c>
      <c r="J194" s="484" t="s">
        <v>341</v>
      </c>
    </row>
    <row r="195" spans="1:10" ht="11.15" customHeight="1">
      <c r="A195" s="299">
        <v>407025</v>
      </c>
      <c r="B195" s="294" t="s">
        <v>342</v>
      </c>
      <c r="F195" s="30">
        <f t="shared" si="4"/>
        <v>0</v>
      </c>
      <c r="H195" s="149">
        <v>0</v>
      </c>
      <c r="I195" s="149">
        <v>0</v>
      </c>
      <c r="J195" s="484" t="s">
        <v>342</v>
      </c>
    </row>
    <row r="196" spans="1:10" ht="11.15" customHeight="1">
      <c r="A196" s="295" t="s">
        <v>343</v>
      </c>
      <c r="B196" s="294" t="s">
        <v>344</v>
      </c>
      <c r="F196" s="30">
        <f t="shared" ref="F196:F197" si="5">ROUND(H196/1000,0)</f>
        <v>0</v>
      </c>
      <c r="H196" s="149"/>
      <c r="I196" s="149"/>
      <c r="J196" s="484"/>
    </row>
    <row r="197" spans="1:10" ht="11.15" customHeight="1">
      <c r="A197" s="295">
        <v>407229</v>
      </c>
      <c r="B197" s="294" t="s">
        <v>484</v>
      </c>
      <c r="F197" s="30">
        <f t="shared" si="5"/>
        <v>0</v>
      </c>
      <c r="H197" s="149">
        <v>0</v>
      </c>
      <c r="I197" s="149">
        <v>0</v>
      </c>
      <c r="J197" s="484" t="s">
        <v>484</v>
      </c>
    </row>
    <row r="198" spans="1:10" ht="11.15" customHeight="1">
      <c r="A198" s="295">
        <v>407329</v>
      </c>
      <c r="B198" s="294" t="s">
        <v>345</v>
      </c>
      <c r="F198" s="30">
        <f t="shared" si="4"/>
        <v>0</v>
      </c>
      <c r="H198" s="149"/>
      <c r="I198" s="149"/>
      <c r="J198" s="484"/>
    </row>
    <row r="199" spans="1:10" ht="11.15" customHeight="1">
      <c r="A199" s="296">
        <v>407335</v>
      </c>
      <c r="B199" s="453" t="s">
        <v>346</v>
      </c>
      <c r="F199" s="30">
        <f t="shared" si="4"/>
        <v>0</v>
      </c>
      <c r="H199" s="149">
        <v>0</v>
      </c>
      <c r="I199" s="149">
        <v>0</v>
      </c>
      <c r="J199" s="485" t="s">
        <v>346</v>
      </c>
    </row>
    <row r="200" spans="1:10" ht="11.15" customHeight="1">
      <c r="A200" s="299" t="s">
        <v>347</v>
      </c>
      <c r="B200" s="294" t="s">
        <v>348</v>
      </c>
      <c r="F200" s="30">
        <f t="shared" si="4"/>
        <v>0</v>
      </c>
      <c r="H200" s="149">
        <v>0</v>
      </c>
      <c r="I200" s="149">
        <v>0</v>
      </c>
      <c r="J200" s="484" t="s">
        <v>348</v>
      </c>
    </row>
    <row r="201" spans="1:10" ht="11.15" customHeight="1">
      <c r="A201" s="486" t="s">
        <v>492</v>
      </c>
      <c r="B201" s="484" t="s">
        <v>489</v>
      </c>
      <c r="F201" s="30">
        <f t="shared" si="4"/>
        <v>0</v>
      </c>
      <c r="H201" s="149">
        <v>0</v>
      </c>
      <c r="I201" s="149">
        <v>0</v>
      </c>
      <c r="J201" s="484" t="s">
        <v>489</v>
      </c>
    </row>
    <row r="202" spans="1:10" ht="11.15" customHeight="1">
      <c r="A202" s="292"/>
      <c r="B202" s="294" t="s">
        <v>349</v>
      </c>
      <c r="F202" s="30">
        <f t="shared" si="4"/>
        <v>5206</v>
      </c>
      <c r="H202" s="149">
        <v>5206306</v>
      </c>
      <c r="I202" s="149">
        <v>5206306</v>
      </c>
      <c r="J202" s="484" t="s">
        <v>349</v>
      </c>
    </row>
    <row r="203" spans="1:10" ht="11.15" customHeight="1">
      <c r="A203" s="292"/>
      <c r="B203" s="294"/>
      <c r="F203" s="30">
        <f t="shared" si="4"/>
        <v>0</v>
      </c>
      <c r="H203" s="149"/>
      <c r="I203" s="149"/>
      <c r="J203" s="484"/>
    </row>
    <row r="204" spans="1:10" ht="11.15" customHeight="1">
      <c r="A204" s="295"/>
      <c r="B204" s="294" t="s">
        <v>350</v>
      </c>
      <c r="F204" s="30">
        <f t="shared" si="4"/>
        <v>18595</v>
      </c>
      <c r="H204" s="149">
        <v>18594682</v>
      </c>
      <c r="I204" s="149">
        <v>18594682</v>
      </c>
      <c r="J204" s="484" t="s">
        <v>350</v>
      </c>
    </row>
    <row r="205" spans="1:10" ht="11.15" customHeight="1">
      <c r="A205" s="295"/>
      <c r="B205" s="294"/>
      <c r="F205" s="30">
        <f t="shared" si="4"/>
        <v>0</v>
      </c>
      <c r="H205" s="149"/>
      <c r="I205" s="149"/>
      <c r="J205" s="484"/>
    </row>
    <row r="206" spans="1:10" ht="11.15" customHeight="1">
      <c r="A206" s="295"/>
      <c r="B206" s="294" t="s">
        <v>351</v>
      </c>
      <c r="F206" s="30">
        <f t="shared" si="4"/>
        <v>241429</v>
      </c>
      <c r="H206" s="149">
        <v>241428998</v>
      </c>
      <c r="I206" s="149">
        <v>241428998</v>
      </c>
      <c r="J206" s="484" t="s">
        <v>351</v>
      </c>
    </row>
    <row r="207" spans="1:10" ht="11.15" customHeight="1">
      <c r="A207" s="295"/>
      <c r="B207" s="294"/>
      <c r="F207" s="30">
        <f t="shared" si="4"/>
        <v>0</v>
      </c>
      <c r="H207" s="149"/>
      <c r="I207" s="149"/>
      <c r="J207" s="484"/>
    </row>
    <row r="208" spans="1:10" ht="11.15" customHeight="1">
      <c r="A208" s="295"/>
      <c r="B208" s="294" t="s">
        <v>352</v>
      </c>
      <c r="F208" s="30">
        <f t="shared" si="4"/>
        <v>20265</v>
      </c>
      <c r="H208" s="149">
        <v>20265311</v>
      </c>
      <c r="I208" s="149">
        <v>20265311</v>
      </c>
      <c r="J208" s="484" t="s">
        <v>490</v>
      </c>
    </row>
    <row r="209" spans="1:10" ht="11.15" customHeight="1">
      <c r="A209" s="295"/>
      <c r="B209" s="294"/>
      <c r="F209" s="30">
        <f t="shared" si="4"/>
        <v>0</v>
      </c>
      <c r="H209" s="149"/>
      <c r="I209" s="149"/>
      <c r="J209" s="484"/>
    </row>
    <row r="210" spans="1:10" ht="11.15" customHeight="1">
      <c r="A210" s="295"/>
      <c r="B210" s="294" t="s">
        <v>57</v>
      </c>
      <c r="F210" s="30">
        <f t="shared" si="4"/>
        <v>-6651</v>
      </c>
      <c r="H210" s="149">
        <v>-6650729</v>
      </c>
      <c r="I210" s="149">
        <v>-6650729</v>
      </c>
      <c r="J210" s="484" t="s">
        <v>57</v>
      </c>
    </row>
    <row r="211" spans="1:10" ht="11.15" customHeight="1">
      <c r="A211" s="295"/>
      <c r="B211" s="294" t="s">
        <v>353</v>
      </c>
      <c r="F211" s="30">
        <f t="shared" si="4"/>
        <v>12388</v>
      </c>
      <c r="H211" s="149">
        <v>12387770</v>
      </c>
      <c r="I211" s="149">
        <v>12387770</v>
      </c>
      <c r="J211" s="484" t="s">
        <v>353</v>
      </c>
    </row>
    <row r="212" spans="1:10" ht="11.15" customHeight="1">
      <c r="A212" s="295"/>
      <c r="B212" s="294" t="s">
        <v>354</v>
      </c>
      <c r="F212" s="30">
        <f t="shared" si="4"/>
        <v>-20</v>
      </c>
      <c r="H212" s="149">
        <v>-20244</v>
      </c>
      <c r="I212" s="149">
        <v>-20244</v>
      </c>
      <c r="J212" s="484" t="s">
        <v>354</v>
      </c>
    </row>
    <row r="213" spans="1:10" ht="11.15" customHeight="1">
      <c r="A213" s="292"/>
      <c r="B213" s="294" t="s">
        <v>355</v>
      </c>
      <c r="F213" s="30">
        <f t="shared" si="4"/>
        <v>14549</v>
      </c>
      <c r="H213" s="149">
        <v>14548514</v>
      </c>
      <c r="I213" s="149">
        <v>14548514</v>
      </c>
      <c r="J213" s="484" t="s">
        <v>491</v>
      </c>
    </row>
    <row r="214" spans="1:10" ht="11.15" customHeight="1">
      <c r="F214" s="30">
        <f t="shared" si="4"/>
        <v>0</v>
      </c>
    </row>
    <row r="215" spans="1:10" ht="11.15" customHeight="1">
      <c r="A215" s="300"/>
      <c r="B215" s="301" t="s">
        <v>107</v>
      </c>
      <c r="F215" s="30">
        <f t="shared" si="4"/>
        <v>0</v>
      </c>
      <c r="J215" s="487" t="s">
        <v>107</v>
      </c>
    </row>
    <row r="216" spans="1:10" ht="11.15" customHeight="1">
      <c r="A216" s="300"/>
      <c r="B216" s="301" t="s">
        <v>356</v>
      </c>
      <c r="F216" s="30">
        <f t="shared" si="4"/>
        <v>0</v>
      </c>
      <c r="J216" s="487" t="s">
        <v>356</v>
      </c>
    </row>
    <row r="217" spans="1:10" ht="11.15" customHeight="1">
      <c r="A217" s="302">
        <v>303000</v>
      </c>
      <c r="B217" s="303" t="s">
        <v>357</v>
      </c>
      <c r="F217" s="30">
        <f t="shared" si="4"/>
        <v>2278</v>
      </c>
      <c r="H217" s="149">
        <v>2278048</v>
      </c>
      <c r="I217" s="149">
        <v>2278048</v>
      </c>
      <c r="J217" s="488" t="s">
        <v>357</v>
      </c>
    </row>
    <row r="218" spans="1:10" ht="11.15" customHeight="1">
      <c r="A218" s="304" t="s">
        <v>358</v>
      </c>
      <c r="B218" s="301" t="s">
        <v>359</v>
      </c>
      <c r="F218" s="30">
        <f t="shared" si="4"/>
        <v>17474</v>
      </c>
      <c r="H218" s="149">
        <v>17473838</v>
      </c>
      <c r="I218" s="149">
        <v>17473838</v>
      </c>
      <c r="J218" s="487" t="s">
        <v>359</v>
      </c>
    </row>
    <row r="219" spans="1:10" ht="11.15" customHeight="1">
      <c r="A219" s="305"/>
      <c r="B219" s="301" t="s">
        <v>360</v>
      </c>
      <c r="F219" s="30">
        <f t="shared" si="4"/>
        <v>19752</v>
      </c>
      <c r="H219" s="149">
        <v>19751886</v>
      </c>
      <c r="I219" s="149">
        <v>19751886</v>
      </c>
      <c r="J219" s="487" t="s">
        <v>360</v>
      </c>
    </row>
    <row r="220" spans="1:10" ht="11.15" customHeight="1">
      <c r="A220" s="305"/>
      <c r="B220" s="301"/>
      <c r="F220" s="30">
        <f t="shared" ref="F220:F284" si="6">ROUND(H220/1000,0)</f>
        <v>0</v>
      </c>
      <c r="H220" s="149"/>
      <c r="I220" s="149"/>
      <c r="J220" s="487"/>
    </row>
    <row r="221" spans="1:10" ht="11.15" customHeight="1">
      <c r="A221" s="305"/>
      <c r="B221" s="301" t="s">
        <v>361</v>
      </c>
      <c r="F221" s="30">
        <f t="shared" si="6"/>
        <v>0</v>
      </c>
      <c r="H221" s="149"/>
      <c r="I221" s="149"/>
      <c r="J221" s="487" t="s">
        <v>361</v>
      </c>
    </row>
    <row r="222" spans="1:10" ht="11.15" customHeight="1">
      <c r="A222" s="306" t="s">
        <v>362</v>
      </c>
      <c r="B222" s="301" t="s">
        <v>363</v>
      </c>
      <c r="F222" s="30">
        <f t="shared" si="6"/>
        <v>331</v>
      </c>
      <c r="H222" s="149">
        <v>330685</v>
      </c>
      <c r="I222" s="149">
        <v>330685</v>
      </c>
      <c r="J222" s="487" t="s">
        <v>363</v>
      </c>
    </row>
    <row r="223" spans="1:10" ht="11.15" customHeight="1">
      <c r="A223" s="306" t="s">
        <v>364</v>
      </c>
      <c r="B223" s="301" t="s">
        <v>365</v>
      </c>
      <c r="F223" s="30">
        <f t="shared" si="6"/>
        <v>1174</v>
      </c>
      <c r="H223" s="149">
        <v>1174351</v>
      </c>
      <c r="I223" s="149">
        <v>1174351</v>
      </c>
      <c r="J223" s="487" t="s">
        <v>365</v>
      </c>
    </row>
    <row r="224" spans="1:10" ht="11.15" customHeight="1">
      <c r="A224" s="306" t="s">
        <v>366</v>
      </c>
      <c r="B224" s="301" t="s">
        <v>367</v>
      </c>
      <c r="F224" s="30">
        <f t="shared" si="6"/>
        <v>13175</v>
      </c>
      <c r="H224" s="149">
        <v>13174772</v>
      </c>
      <c r="I224" s="149">
        <v>13174772</v>
      </c>
      <c r="J224" s="487" t="s">
        <v>367</v>
      </c>
    </row>
    <row r="225" spans="1:10" ht="11.15" customHeight="1">
      <c r="A225" s="306">
        <v>353000</v>
      </c>
      <c r="B225" s="301" t="s">
        <v>368</v>
      </c>
      <c r="F225" s="30">
        <f t="shared" si="6"/>
        <v>740</v>
      </c>
      <c r="H225" s="149">
        <v>739908</v>
      </c>
      <c r="I225" s="149">
        <v>739908</v>
      </c>
      <c r="J225" s="487" t="s">
        <v>368</v>
      </c>
    </row>
    <row r="226" spans="1:10" ht="11.15" customHeight="1">
      <c r="A226" s="306">
        <v>354000</v>
      </c>
      <c r="B226" s="301" t="s">
        <v>369</v>
      </c>
      <c r="F226" s="30">
        <f t="shared" si="6"/>
        <v>8347</v>
      </c>
      <c r="H226" s="149">
        <v>8346530</v>
      </c>
      <c r="I226" s="149">
        <v>8346530</v>
      </c>
      <c r="J226" s="487" t="s">
        <v>369</v>
      </c>
    </row>
    <row r="227" spans="1:10" ht="11.15" customHeight="1">
      <c r="A227" s="306">
        <v>355000</v>
      </c>
      <c r="B227" s="301" t="s">
        <v>370</v>
      </c>
      <c r="F227" s="30">
        <f t="shared" si="6"/>
        <v>320</v>
      </c>
      <c r="H227" s="149">
        <v>320211</v>
      </c>
      <c r="I227" s="149">
        <v>320211</v>
      </c>
      <c r="J227" s="487" t="s">
        <v>370</v>
      </c>
    </row>
    <row r="228" spans="1:10" ht="11.15" customHeight="1">
      <c r="A228" s="306">
        <v>356000</v>
      </c>
      <c r="B228" s="301" t="s">
        <v>371</v>
      </c>
      <c r="F228" s="30">
        <f t="shared" si="6"/>
        <v>286</v>
      </c>
      <c r="H228" s="149">
        <v>285990</v>
      </c>
      <c r="I228" s="149">
        <v>285990</v>
      </c>
      <c r="J228" s="487" t="s">
        <v>371</v>
      </c>
    </row>
    <row r="229" spans="1:10" ht="11.15" customHeight="1">
      <c r="A229" s="306">
        <v>357000</v>
      </c>
      <c r="B229" s="301" t="s">
        <v>281</v>
      </c>
      <c r="F229" s="30">
        <f t="shared" si="6"/>
        <v>1250</v>
      </c>
      <c r="H229" s="149">
        <v>1249708</v>
      </c>
      <c r="I229" s="149">
        <v>1249708</v>
      </c>
      <c r="J229" s="487" t="s">
        <v>281</v>
      </c>
    </row>
    <row r="230" spans="1:10" ht="11.15" customHeight="1">
      <c r="A230" s="306"/>
      <c r="B230" s="301" t="s">
        <v>372</v>
      </c>
      <c r="F230" s="30">
        <f t="shared" si="6"/>
        <v>25622</v>
      </c>
      <c r="H230" s="149">
        <v>25622155</v>
      </c>
      <c r="I230" s="149">
        <v>25622155</v>
      </c>
      <c r="J230" s="487" t="s">
        <v>372</v>
      </c>
    </row>
    <row r="231" spans="1:10" ht="11.15" customHeight="1">
      <c r="A231" s="306"/>
      <c r="B231" s="301"/>
      <c r="F231" s="30">
        <f t="shared" si="6"/>
        <v>0</v>
      </c>
      <c r="H231" s="149"/>
      <c r="I231" s="149"/>
      <c r="J231" s="487"/>
    </row>
    <row r="232" spans="1:10" ht="11.15" customHeight="1">
      <c r="A232" s="306"/>
      <c r="B232" s="301" t="s">
        <v>373</v>
      </c>
      <c r="F232" s="30">
        <f t="shared" si="6"/>
        <v>0</v>
      </c>
      <c r="H232" s="149"/>
      <c r="I232" s="149"/>
      <c r="J232" s="487" t="s">
        <v>373</v>
      </c>
    </row>
    <row r="233" spans="1:10" ht="11.15" customHeight="1">
      <c r="A233" s="306">
        <v>374200</v>
      </c>
      <c r="B233" s="301" t="s">
        <v>363</v>
      </c>
      <c r="F233" s="30">
        <f t="shared" si="6"/>
        <v>64</v>
      </c>
      <c r="H233" s="149">
        <v>63925</v>
      </c>
      <c r="I233" s="149">
        <v>63925</v>
      </c>
      <c r="J233" s="487" t="s">
        <v>363</v>
      </c>
    </row>
    <row r="234" spans="1:10" ht="11.15" customHeight="1">
      <c r="A234" s="306">
        <v>374400</v>
      </c>
      <c r="B234" s="301" t="s">
        <v>363</v>
      </c>
      <c r="F234" s="30">
        <f t="shared" si="6"/>
        <v>113</v>
      </c>
      <c r="H234" s="149">
        <v>113373</v>
      </c>
      <c r="I234" s="149">
        <v>113373</v>
      </c>
      <c r="J234" s="487" t="s">
        <v>363</v>
      </c>
    </row>
    <row r="235" spans="1:10" ht="11.15" customHeight="1">
      <c r="A235" s="306">
        <v>375000</v>
      </c>
      <c r="B235" s="301" t="s">
        <v>365</v>
      </c>
      <c r="F235" s="30">
        <f t="shared" si="6"/>
        <v>541</v>
      </c>
      <c r="H235" s="149">
        <v>541369</v>
      </c>
      <c r="I235" s="149">
        <v>541369</v>
      </c>
      <c r="J235" s="487" t="s">
        <v>365</v>
      </c>
    </row>
    <row r="236" spans="1:10" ht="11.15" customHeight="1">
      <c r="A236" s="306">
        <v>376000</v>
      </c>
      <c r="B236" s="307" t="s">
        <v>299</v>
      </c>
      <c r="F236" s="30">
        <f t="shared" si="6"/>
        <v>175201</v>
      </c>
      <c r="H236" s="149">
        <v>175200796</v>
      </c>
      <c r="I236" s="149">
        <v>175200796</v>
      </c>
      <c r="J236" s="489" t="s">
        <v>299</v>
      </c>
    </row>
    <row r="237" spans="1:10" ht="11.15" customHeight="1">
      <c r="A237" s="306">
        <v>378000</v>
      </c>
      <c r="B237" s="301" t="s">
        <v>374</v>
      </c>
      <c r="F237" s="30">
        <f t="shared" si="6"/>
        <v>3328</v>
      </c>
      <c r="H237" s="149">
        <v>3328057</v>
      </c>
      <c r="I237" s="149">
        <v>3328057</v>
      </c>
      <c r="J237" s="487" t="s">
        <v>374</v>
      </c>
    </row>
    <row r="238" spans="1:10" ht="11.15" customHeight="1">
      <c r="A238" s="306">
        <v>379000</v>
      </c>
      <c r="B238" s="301" t="s">
        <v>375</v>
      </c>
      <c r="F238" s="30">
        <f t="shared" si="6"/>
        <v>1909</v>
      </c>
      <c r="H238" s="149">
        <v>1909114</v>
      </c>
      <c r="I238" s="149">
        <v>1909114</v>
      </c>
      <c r="J238" s="487" t="s">
        <v>375</v>
      </c>
    </row>
    <row r="239" spans="1:10" ht="11.15" customHeight="1">
      <c r="A239" s="306">
        <v>380000</v>
      </c>
      <c r="B239" s="301" t="s">
        <v>300</v>
      </c>
      <c r="F239" s="30">
        <f t="shared" si="6"/>
        <v>124289</v>
      </c>
      <c r="H239" s="149">
        <v>124288576</v>
      </c>
      <c r="I239" s="149">
        <v>124288576</v>
      </c>
      <c r="J239" s="487" t="s">
        <v>300</v>
      </c>
    </row>
    <row r="240" spans="1:10" ht="11.15" customHeight="1">
      <c r="A240" s="306">
        <v>381000</v>
      </c>
      <c r="B240" s="301" t="s">
        <v>376</v>
      </c>
      <c r="F240" s="30">
        <f t="shared" si="6"/>
        <v>46351</v>
      </c>
      <c r="H240" s="149">
        <v>46351205</v>
      </c>
      <c r="I240" s="149">
        <v>46351205</v>
      </c>
      <c r="J240" s="487" t="s">
        <v>376</v>
      </c>
    </row>
    <row r="241" spans="1:10" ht="11.15" customHeight="1">
      <c r="A241" s="306">
        <v>382000</v>
      </c>
      <c r="B241" s="301" t="s">
        <v>377</v>
      </c>
      <c r="F241" s="30">
        <f t="shared" si="6"/>
        <v>0</v>
      </c>
      <c r="H241" s="149">
        <v>0</v>
      </c>
      <c r="I241" s="149">
        <v>0</v>
      </c>
      <c r="J241" s="487" t="s">
        <v>377</v>
      </c>
    </row>
    <row r="242" spans="1:10" ht="11.15" customHeight="1">
      <c r="A242" s="306">
        <v>383000</v>
      </c>
      <c r="B242" s="301" t="s">
        <v>378</v>
      </c>
      <c r="F242" s="30">
        <f t="shared" si="6"/>
        <v>0</v>
      </c>
      <c r="H242" s="149">
        <v>0</v>
      </c>
      <c r="I242" s="149">
        <v>0</v>
      </c>
      <c r="J242" s="487" t="s">
        <v>378</v>
      </c>
    </row>
    <row r="243" spans="1:10" ht="11.15" customHeight="1">
      <c r="A243" s="306">
        <v>384000</v>
      </c>
      <c r="B243" s="301" t="s">
        <v>379</v>
      </c>
      <c r="F243" s="30">
        <f t="shared" si="6"/>
        <v>0</v>
      </c>
      <c r="H243" s="149">
        <v>0</v>
      </c>
      <c r="I243" s="149">
        <v>0</v>
      </c>
      <c r="J243" s="487" t="s">
        <v>379</v>
      </c>
    </row>
    <row r="244" spans="1:10" ht="11.15" customHeight="1">
      <c r="A244" s="306">
        <v>385000</v>
      </c>
      <c r="B244" s="301" t="s">
        <v>380</v>
      </c>
      <c r="F244" s="30">
        <f t="shared" si="6"/>
        <v>2563</v>
      </c>
      <c r="H244" s="149">
        <v>2563254</v>
      </c>
      <c r="I244" s="149">
        <v>2563254</v>
      </c>
      <c r="J244" s="487" t="s">
        <v>380</v>
      </c>
    </row>
    <row r="245" spans="1:10" ht="11.15" customHeight="1">
      <c r="A245" s="306">
        <v>387000</v>
      </c>
      <c r="B245" s="301" t="s">
        <v>281</v>
      </c>
      <c r="F245" s="30">
        <f t="shared" si="6"/>
        <v>0</v>
      </c>
      <c r="H245" s="149">
        <v>0</v>
      </c>
      <c r="I245" s="149">
        <v>0</v>
      </c>
      <c r="J245" s="487" t="s">
        <v>281</v>
      </c>
    </row>
    <row r="246" spans="1:10" ht="11.15" customHeight="1">
      <c r="A246" s="306"/>
      <c r="B246" s="301" t="s">
        <v>381</v>
      </c>
      <c r="F246" s="30">
        <f t="shared" si="6"/>
        <v>354360</v>
      </c>
      <c r="H246" s="149">
        <v>354359669</v>
      </c>
      <c r="I246" s="149">
        <v>354359669</v>
      </c>
      <c r="J246" s="487" t="s">
        <v>381</v>
      </c>
    </row>
    <row r="247" spans="1:10" ht="11.15" customHeight="1">
      <c r="A247" s="306"/>
      <c r="B247" s="301"/>
      <c r="F247" s="30">
        <f t="shared" si="6"/>
        <v>0</v>
      </c>
      <c r="H247" s="149"/>
      <c r="I247" s="149"/>
      <c r="J247" s="487"/>
    </row>
    <row r="248" spans="1:10" ht="11.15" customHeight="1">
      <c r="A248" s="306"/>
      <c r="B248" s="301" t="s">
        <v>382</v>
      </c>
      <c r="F248" s="30">
        <f t="shared" si="6"/>
        <v>0</v>
      </c>
      <c r="H248" s="149"/>
      <c r="I248" s="149"/>
      <c r="J248" s="487" t="s">
        <v>382</v>
      </c>
    </row>
    <row r="249" spans="1:10" ht="11.15" customHeight="1">
      <c r="A249" s="306" t="s">
        <v>383</v>
      </c>
      <c r="B249" s="301" t="s">
        <v>363</v>
      </c>
      <c r="F249" s="30">
        <f t="shared" si="6"/>
        <v>1337</v>
      </c>
      <c r="H249" s="149">
        <v>1336598</v>
      </c>
      <c r="I249" s="149">
        <v>1336598</v>
      </c>
      <c r="J249" s="487" t="s">
        <v>363</v>
      </c>
    </row>
    <row r="250" spans="1:10" ht="11.15" customHeight="1">
      <c r="A250" s="304" t="s">
        <v>384</v>
      </c>
      <c r="B250" s="301" t="s">
        <v>365</v>
      </c>
      <c r="F250" s="30">
        <f t="shared" si="6"/>
        <v>16211</v>
      </c>
      <c r="H250" s="149">
        <v>16210807</v>
      </c>
      <c r="I250" s="149">
        <v>16210807</v>
      </c>
      <c r="J250" s="487" t="s">
        <v>365</v>
      </c>
    </row>
    <row r="251" spans="1:10" ht="11.15" customHeight="1">
      <c r="A251" s="304" t="s">
        <v>385</v>
      </c>
      <c r="B251" s="301" t="s">
        <v>386</v>
      </c>
      <c r="F251" s="30">
        <f t="shared" si="6"/>
        <v>7994</v>
      </c>
      <c r="H251" s="149">
        <v>7993796</v>
      </c>
      <c r="I251" s="149">
        <v>7993796</v>
      </c>
      <c r="J251" s="487" t="s">
        <v>386</v>
      </c>
    </row>
    <row r="252" spans="1:10" ht="11.15" customHeight="1">
      <c r="A252" s="304" t="s">
        <v>387</v>
      </c>
      <c r="B252" s="301" t="s">
        <v>388</v>
      </c>
      <c r="F252" s="30">
        <f t="shared" si="6"/>
        <v>8246</v>
      </c>
      <c r="H252" s="149">
        <v>8245847</v>
      </c>
      <c r="I252" s="149">
        <v>8245847</v>
      </c>
      <c r="J252" s="487" t="s">
        <v>388</v>
      </c>
    </row>
    <row r="253" spans="1:10" ht="11.15" customHeight="1">
      <c r="A253" s="306">
        <v>393000</v>
      </c>
      <c r="B253" s="301" t="s">
        <v>389</v>
      </c>
      <c r="F253" s="30">
        <f t="shared" si="6"/>
        <v>523</v>
      </c>
      <c r="H253" s="149">
        <v>523127</v>
      </c>
      <c r="I253" s="149">
        <v>523127</v>
      </c>
      <c r="J253" s="487" t="s">
        <v>389</v>
      </c>
    </row>
    <row r="254" spans="1:10" ht="11.15" customHeight="1">
      <c r="A254" s="306">
        <v>394000</v>
      </c>
      <c r="B254" s="301" t="s">
        <v>390</v>
      </c>
      <c r="F254" s="30">
        <f t="shared" si="6"/>
        <v>4851</v>
      </c>
      <c r="H254" s="149">
        <v>4850767</v>
      </c>
      <c r="I254" s="149">
        <v>4850767</v>
      </c>
      <c r="J254" s="487" t="s">
        <v>390</v>
      </c>
    </row>
    <row r="255" spans="1:10" ht="11.15" customHeight="1">
      <c r="A255" s="306">
        <v>395000</v>
      </c>
      <c r="B255" s="301" t="s">
        <v>391</v>
      </c>
      <c r="F255" s="30">
        <f t="shared" si="6"/>
        <v>298</v>
      </c>
      <c r="H255" s="149">
        <v>297621</v>
      </c>
      <c r="I255" s="149">
        <v>297621</v>
      </c>
      <c r="J255" s="487" t="s">
        <v>391</v>
      </c>
    </row>
    <row r="256" spans="1:10" ht="11.15" customHeight="1">
      <c r="A256" s="306" t="s">
        <v>392</v>
      </c>
      <c r="B256" s="301" t="s">
        <v>393</v>
      </c>
      <c r="F256" s="30">
        <f t="shared" si="6"/>
        <v>3570</v>
      </c>
      <c r="H256" s="149">
        <v>3569694</v>
      </c>
      <c r="I256" s="149">
        <v>3569694</v>
      </c>
      <c r="J256" s="487" t="s">
        <v>393</v>
      </c>
    </row>
    <row r="257" spans="1:10" ht="11.15" customHeight="1">
      <c r="A257" s="306" t="s">
        <v>394</v>
      </c>
      <c r="B257" s="301" t="s">
        <v>395</v>
      </c>
      <c r="F257" s="30">
        <f t="shared" si="6"/>
        <v>6876</v>
      </c>
      <c r="H257" s="149">
        <v>6876153</v>
      </c>
      <c r="I257" s="149">
        <v>6876153</v>
      </c>
      <c r="J257" s="487" t="s">
        <v>395</v>
      </c>
    </row>
    <row r="258" spans="1:10" ht="11.15" customHeight="1">
      <c r="A258" s="306">
        <v>398000</v>
      </c>
      <c r="B258" s="301" t="s">
        <v>396</v>
      </c>
      <c r="F258" s="30">
        <f t="shared" si="6"/>
        <v>69</v>
      </c>
      <c r="H258" s="149">
        <v>68662</v>
      </c>
      <c r="I258" s="149">
        <v>68662</v>
      </c>
      <c r="J258" s="487" t="s">
        <v>396</v>
      </c>
    </row>
    <row r="259" spans="1:10" ht="11.15" customHeight="1">
      <c r="A259" s="306"/>
      <c r="B259" s="301" t="s">
        <v>397</v>
      </c>
      <c r="F259" s="30">
        <f t="shared" si="6"/>
        <v>49973</v>
      </c>
      <c r="H259" s="149">
        <v>49973072</v>
      </c>
      <c r="I259" s="149">
        <v>49973072</v>
      </c>
      <c r="J259" s="487" t="s">
        <v>397</v>
      </c>
    </row>
    <row r="260" spans="1:10" ht="11.15" customHeight="1">
      <c r="A260" s="306"/>
      <c r="B260" s="301"/>
      <c r="F260" s="30">
        <f t="shared" si="6"/>
        <v>0</v>
      </c>
      <c r="H260" s="149"/>
      <c r="I260" s="149"/>
      <c r="J260" s="487"/>
    </row>
    <row r="261" spans="1:10" ht="11.15" customHeight="1">
      <c r="A261" s="306"/>
      <c r="B261" s="301" t="s">
        <v>398</v>
      </c>
      <c r="F261" s="30">
        <f t="shared" si="6"/>
        <v>449707</v>
      </c>
      <c r="H261" s="149">
        <v>449706782</v>
      </c>
      <c r="I261" s="149">
        <v>449706782</v>
      </c>
      <c r="J261" s="487" t="s">
        <v>398</v>
      </c>
    </row>
    <row r="262" spans="1:10" ht="11.15" customHeight="1">
      <c r="A262" s="306"/>
      <c r="B262" s="301"/>
      <c r="F262" s="30">
        <f t="shared" si="6"/>
        <v>0</v>
      </c>
      <c r="H262" s="149"/>
      <c r="I262" s="149"/>
      <c r="J262" s="487"/>
    </row>
    <row r="263" spans="1:10" ht="11.15" customHeight="1">
      <c r="A263" s="306"/>
      <c r="B263" s="301"/>
      <c r="F263" s="30">
        <f t="shared" si="6"/>
        <v>0</v>
      </c>
      <c r="H263" s="149"/>
      <c r="I263" s="149"/>
      <c r="J263" s="487"/>
    </row>
    <row r="264" spans="1:10" ht="11.15" customHeight="1">
      <c r="A264" s="304"/>
      <c r="B264" s="301" t="s">
        <v>66</v>
      </c>
      <c r="F264" s="30">
        <f t="shared" si="6"/>
        <v>0</v>
      </c>
      <c r="H264" s="149"/>
      <c r="I264" s="149"/>
      <c r="J264" s="487" t="s">
        <v>66</v>
      </c>
    </row>
    <row r="265" spans="1:10" ht="11.15" customHeight="1">
      <c r="A265" s="304"/>
      <c r="B265" s="301" t="s">
        <v>44</v>
      </c>
      <c r="F265" s="30">
        <f t="shared" si="6"/>
        <v>-9654</v>
      </c>
      <c r="H265" s="149">
        <v>-9654325</v>
      </c>
      <c r="I265" s="149">
        <v>-9654325</v>
      </c>
      <c r="J265" s="487" t="s">
        <v>44</v>
      </c>
    </row>
    <row r="266" spans="1:10" ht="11.15" customHeight="1">
      <c r="A266" s="304"/>
      <c r="B266" s="301" t="s">
        <v>63</v>
      </c>
      <c r="F266" s="30">
        <f t="shared" si="6"/>
        <v>-119790</v>
      </c>
      <c r="H266" s="149">
        <v>-119789599</v>
      </c>
      <c r="I266" s="149">
        <v>-119789599</v>
      </c>
      <c r="J266" s="487" t="s">
        <v>63</v>
      </c>
    </row>
    <row r="267" spans="1:10" ht="11.15" customHeight="1">
      <c r="A267" s="304"/>
      <c r="B267" s="301" t="s">
        <v>64</v>
      </c>
      <c r="F267" s="30">
        <f t="shared" si="6"/>
        <v>-14239</v>
      </c>
      <c r="H267" s="149">
        <v>-14239141</v>
      </c>
      <c r="I267" s="149">
        <v>-14239141</v>
      </c>
      <c r="J267" s="487" t="s">
        <v>64</v>
      </c>
    </row>
    <row r="268" spans="1:10" ht="11.15" customHeight="1">
      <c r="A268" s="300"/>
      <c r="B268" s="301" t="s">
        <v>399</v>
      </c>
      <c r="F268" s="30">
        <f t="shared" si="6"/>
        <v>-143683</v>
      </c>
      <c r="H268" s="149">
        <v>-143683065</v>
      </c>
      <c r="I268" s="149">
        <v>-143683065</v>
      </c>
      <c r="J268" s="487" t="s">
        <v>399</v>
      </c>
    </row>
    <row r="269" spans="1:10" ht="11.15" customHeight="1">
      <c r="A269" s="300"/>
      <c r="B269" s="301"/>
      <c r="F269" s="30">
        <f t="shared" si="6"/>
        <v>0</v>
      </c>
      <c r="H269" s="149"/>
      <c r="I269" s="149"/>
      <c r="J269" s="487"/>
    </row>
    <row r="270" spans="1:10" ht="11.15" customHeight="1">
      <c r="A270" s="300"/>
      <c r="B270" s="301" t="s">
        <v>400</v>
      </c>
      <c r="F270" s="30">
        <f t="shared" si="6"/>
        <v>0</v>
      </c>
      <c r="H270" s="149"/>
      <c r="I270" s="149"/>
      <c r="J270" s="487" t="s">
        <v>400</v>
      </c>
    </row>
    <row r="271" spans="1:10" ht="11.15" customHeight="1">
      <c r="A271" s="304"/>
      <c r="B271" s="301" t="s">
        <v>401</v>
      </c>
      <c r="F271" s="30">
        <f t="shared" si="6"/>
        <v>-255</v>
      </c>
      <c r="H271" s="149">
        <v>-254718</v>
      </c>
      <c r="I271" s="149">
        <v>-254718</v>
      </c>
      <c r="J271" s="487" t="s">
        <v>401</v>
      </c>
    </row>
    <row r="272" spans="1:10" ht="11.15" customHeight="1">
      <c r="A272" s="304"/>
      <c r="B272" s="301" t="s">
        <v>402</v>
      </c>
      <c r="F272" s="30">
        <f t="shared" si="6"/>
        <v>-4931</v>
      </c>
      <c r="H272" s="149">
        <v>-4930766</v>
      </c>
      <c r="I272" s="149">
        <v>-4930766</v>
      </c>
      <c r="J272" s="487" t="s">
        <v>402</v>
      </c>
    </row>
    <row r="273" spans="1:10" ht="11.15" customHeight="1">
      <c r="A273" s="304"/>
      <c r="B273" s="301" t="s">
        <v>44</v>
      </c>
      <c r="F273" s="30">
        <f t="shared" si="6"/>
        <v>-170</v>
      </c>
      <c r="H273" s="149">
        <v>-169957</v>
      </c>
      <c r="I273" s="149">
        <v>-169957</v>
      </c>
      <c r="J273" s="487" t="s">
        <v>44</v>
      </c>
    </row>
    <row r="274" spans="1:10" ht="11.15" customHeight="1">
      <c r="A274" s="304"/>
      <c r="B274" s="301" t="s">
        <v>403</v>
      </c>
      <c r="F274" s="30">
        <f t="shared" si="6"/>
        <v>-35</v>
      </c>
      <c r="H274" s="149">
        <v>-34889</v>
      </c>
      <c r="I274" s="149">
        <v>-34889</v>
      </c>
      <c r="J274" s="487" t="s">
        <v>403</v>
      </c>
    </row>
    <row r="275" spans="1:10" ht="11.15" customHeight="1">
      <c r="A275" s="304"/>
      <c r="B275" s="301" t="s">
        <v>404</v>
      </c>
      <c r="F275" s="30">
        <f t="shared" si="6"/>
        <v>-5390</v>
      </c>
      <c r="H275" s="149">
        <v>-5390330</v>
      </c>
      <c r="I275" s="149">
        <v>-5390330</v>
      </c>
      <c r="J275" s="487" t="s">
        <v>404</v>
      </c>
    </row>
    <row r="276" spans="1:10" ht="11.15" customHeight="1">
      <c r="A276" s="304"/>
      <c r="B276" s="301"/>
      <c r="F276" s="30">
        <f t="shared" si="6"/>
        <v>0</v>
      </c>
      <c r="H276" s="149"/>
      <c r="I276" s="149"/>
      <c r="J276" s="487"/>
    </row>
    <row r="277" spans="1:10" ht="11.15" customHeight="1">
      <c r="A277" s="304"/>
      <c r="B277" s="301" t="s">
        <v>405</v>
      </c>
      <c r="F277" s="30">
        <f t="shared" si="6"/>
        <v>-149073</v>
      </c>
      <c r="H277" s="149">
        <v>-149073395</v>
      </c>
      <c r="I277" s="149">
        <v>-149073395</v>
      </c>
      <c r="J277" s="487" t="s">
        <v>405</v>
      </c>
    </row>
    <row r="278" spans="1:10" ht="11.15" customHeight="1">
      <c r="A278" s="304"/>
      <c r="B278" s="301"/>
      <c r="F278" s="30">
        <f t="shared" si="6"/>
        <v>0</v>
      </c>
      <c r="H278" s="149"/>
      <c r="I278" s="149"/>
      <c r="J278" s="487"/>
    </row>
    <row r="279" spans="1:10" ht="11.15" customHeight="1">
      <c r="A279" s="300"/>
      <c r="B279" s="301" t="s">
        <v>406</v>
      </c>
      <c r="F279" s="30">
        <f t="shared" si="6"/>
        <v>300633</v>
      </c>
      <c r="H279" s="149">
        <v>300633387</v>
      </c>
      <c r="I279" s="149">
        <v>300633387</v>
      </c>
      <c r="J279" s="487" t="s">
        <v>406</v>
      </c>
    </row>
    <row r="280" spans="1:10" ht="11.15" customHeight="1">
      <c r="A280" s="300"/>
      <c r="B280" s="301"/>
      <c r="F280" s="30">
        <f t="shared" si="6"/>
        <v>0</v>
      </c>
      <c r="H280" s="149"/>
      <c r="I280" s="149"/>
      <c r="J280" s="487"/>
    </row>
    <row r="281" spans="1:10" ht="11.15" customHeight="1">
      <c r="A281" s="308"/>
      <c r="B281" s="309" t="s">
        <v>407</v>
      </c>
      <c r="F281" s="30">
        <f t="shared" si="6"/>
        <v>0</v>
      </c>
      <c r="H281" s="149"/>
      <c r="I281" s="149"/>
      <c r="J281" s="490" t="s">
        <v>407</v>
      </c>
    </row>
    <row r="282" spans="1:10" ht="11.15" customHeight="1">
      <c r="A282" s="310">
        <v>282900</v>
      </c>
      <c r="B282" s="309" t="s">
        <v>408</v>
      </c>
      <c r="F282" s="30">
        <f t="shared" si="6"/>
        <v>-55194</v>
      </c>
      <c r="H282" s="149">
        <v>-55194164</v>
      </c>
      <c r="I282" s="149">
        <v>-55194164</v>
      </c>
      <c r="J282" s="490" t="s">
        <v>408</v>
      </c>
    </row>
    <row r="283" spans="1:10" ht="11.15" customHeight="1">
      <c r="A283" s="310">
        <v>282900</v>
      </c>
      <c r="B283" s="309" t="s">
        <v>409</v>
      </c>
      <c r="F283" s="30">
        <f t="shared" ref="F283" si="7">ROUND(H283/1000,0)</f>
        <v>-9742</v>
      </c>
      <c r="H283" s="149">
        <v>-9741730</v>
      </c>
      <c r="I283" s="149">
        <v>-9741730</v>
      </c>
      <c r="J283" s="490" t="s">
        <v>409</v>
      </c>
    </row>
    <row r="284" spans="1:10" ht="11.15" customHeight="1">
      <c r="A284" s="310">
        <v>283750</v>
      </c>
      <c r="B284" s="309" t="s">
        <v>457</v>
      </c>
      <c r="F284" s="30">
        <f t="shared" si="6"/>
        <v>-76</v>
      </c>
      <c r="H284" s="149">
        <v>-76361</v>
      </c>
      <c r="I284" s="149">
        <v>-76361</v>
      </c>
      <c r="J284" s="490" t="s">
        <v>457</v>
      </c>
    </row>
    <row r="285" spans="1:10" ht="11.15" customHeight="1">
      <c r="A285" s="310">
        <v>283850</v>
      </c>
      <c r="B285" s="309" t="s">
        <v>410</v>
      </c>
      <c r="F285" s="30">
        <f t="shared" ref="F285:F301" si="8">ROUND(H285/1000,0)</f>
        <v>-662</v>
      </c>
      <c r="H285" s="149">
        <v>-662345</v>
      </c>
      <c r="I285" s="149">
        <v>-662345</v>
      </c>
      <c r="J285" s="490" t="s">
        <v>410</v>
      </c>
    </row>
    <row r="286" spans="1:10" ht="11.15" customHeight="1">
      <c r="A286" s="304"/>
      <c r="B286" s="301" t="s">
        <v>411</v>
      </c>
      <c r="F286" s="30">
        <f t="shared" si="8"/>
        <v>-65675</v>
      </c>
      <c r="H286" s="149">
        <v>-65674600</v>
      </c>
      <c r="I286" s="149">
        <v>-65674600</v>
      </c>
      <c r="J286" s="487" t="s">
        <v>411</v>
      </c>
    </row>
    <row r="287" spans="1:10" ht="11.15" customHeight="1">
      <c r="A287" s="300"/>
      <c r="B287" s="301"/>
      <c r="F287" s="30">
        <f t="shared" si="8"/>
        <v>0</v>
      </c>
      <c r="H287" s="149"/>
      <c r="I287" s="149"/>
      <c r="J287" s="487"/>
    </row>
    <row r="288" spans="1:10" ht="11.15" customHeight="1">
      <c r="A288" s="300"/>
      <c r="B288" s="301" t="s">
        <v>412</v>
      </c>
      <c r="F288" s="30">
        <f t="shared" si="8"/>
        <v>234959</v>
      </c>
      <c r="H288" s="149">
        <v>234958787</v>
      </c>
      <c r="I288" s="149">
        <v>234958787</v>
      </c>
      <c r="J288" s="487" t="s">
        <v>412</v>
      </c>
    </row>
    <row r="290" spans="1:10" ht="11.15" customHeight="1">
      <c r="A290" s="311"/>
      <c r="B290" s="312" t="s">
        <v>413</v>
      </c>
      <c r="F290" s="30">
        <f t="shared" si="8"/>
        <v>0</v>
      </c>
      <c r="J290" s="487" t="s">
        <v>413</v>
      </c>
    </row>
    <row r="291" spans="1:10" ht="11.15" customHeight="1">
      <c r="A291" s="313">
        <v>253850</v>
      </c>
      <c r="B291" s="312" t="s">
        <v>414</v>
      </c>
      <c r="F291" s="30">
        <f t="shared" si="8"/>
        <v>0</v>
      </c>
      <c r="H291" s="149">
        <v>0</v>
      </c>
      <c r="I291" s="149">
        <v>0</v>
      </c>
      <c r="J291" s="487" t="s">
        <v>414</v>
      </c>
    </row>
    <row r="292" spans="1:10" ht="11.15" customHeight="1">
      <c r="A292" s="313">
        <v>190850</v>
      </c>
      <c r="B292" s="312" t="s">
        <v>415</v>
      </c>
      <c r="F292" s="30">
        <f t="shared" si="8"/>
        <v>0</v>
      </c>
      <c r="H292" s="149">
        <v>0</v>
      </c>
      <c r="I292" s="149">
        <v>0</v>
      </c>
      <c r="J292" s="487" t="s">
        <v>415</v>
      </c>
    </row>
    <row r="293" spans="1:10" ht="11.15" customHeight="1">
      <c r="A293" s="314">
        <v>117100</v>
      </c>
      <c r="B293" s="315" t="s">
        <v>416</v>
      </c>
      <c r="F293" s="30">
        <f t="shared" si="8"/>
        <v>4060</v>
      </c>
      <c r="H293" s="149">
        <v>4059886</v>
      </c>
      <c r="I293" s="149">
        <v>4059886</v>
      </c>
      <c r="J293" s="490" t="s">
        <v>416</v>
      </c>
    </row>
    <row r="294" spans="1:10" ht="11.15" customHeight="1">
      <c r="A294" s="314">
        <v>164100</v>
      </c>
      <c r="B294" s="315" t="s">
        <v>417</v>
      </c>
      <c r="F294" s="30">
        <f t="shared" si="8"/>
        <v>11083</v>
      </c>
      <c r="H294" s="149">
        <v>11082698</v>
      </c>
      <c r="I294" s="149">
        <v>11082698</v>
      </c>
      <c r="J294" s="490" t="s">
        <v>417</v>
      </c>
    </row>
    <row r="295" spans="1:10" ht="11.15" customHeight="1">
      <c r="A295" s="314">
        <v>252000</v>
      </c>
      <c r="B295" s="316" t="s">
        <v>418</v>
      </c>
      <c r="F295" s="30">
        <f t="shared" si="8"/>
        <v>-12</v>
      </c>
      <c r="H295" s="149">
        <v>-11831</v>
      </c>
      <c r="I295" s="149">
        <v>-11831</v>
      </c>
      <c r="J295" s="491" t="s">
        <v>418</v>
      </c>
    </row>
    <row r="296" spans="1:10" ht="11.15" customHeight="1">
      <c r="A296" s="314">
        <v>235199</v>
      </c>
      <c r="B296" s="316" t="s">
        <v>419</v>
      </c>
      <c r="F296" s="30">
        <f t="shared" si="8"/>
        <v>-497</v>
      </c>
      <c r="H296" s="149">
        <v>-497417</v>
      </c>
      <c r="I296" s="149">
        <v>-497417</v>
      </c>
      <c r="J296" s="491" t="s">
        <v>419</v>
      </c>
    </row>
    <row r="297" spans="1:10" ht="11.15" customHeight="1">
      <c r="A297" s="317"/>
      <c r="B297" s="318" t="s">
        <v>420</v>
      </c>
      <c r="F297" s="30">
        <f t="shared" si="8"/>
        <v>9797</v>
      </c>
      <c r="H297" s="149">
        <v>9796879</v>
      </c>
      <c r="I297" s="149">
        <v>9796879</v>
      </c>
      <c r="J297" s="491" t="s">
        <v>420</v>
      </c>
    </row>
    <row r="298" spans="1:10" ht="11.15" customHeight="1">
      <c r="A298" s="314">
        <v>186710</v>
      </c>
      <c r="B298" s="315" t="s">
        <v>421</v>
      </c>
      <c r="F298" s="30">
        <f t="shared" si="8"/>
        <v>0</v>
      </c>
      <c r="H298" s="149">
        <v>0</v>
      </c>
      <c r="I298" s="149">
        <v>0</v>
      </c>
      <c r="J298" s="490" t="s">
        <v>421</v>
      </c>
    </row>
    <row r="299" spans="1:10" ht="11.15" customHeight="1">
      <c r="A299" s="316"/>
      <c r="B299" s="312" t="s">
        <v>422</v>
      </c>
      <c r="F299" s="30">
        <f t="shared" si="8"/>
        <v>24430</v>
      </c>
      <c r="H299" s="149">
        <v>24430215</v>
      </c>
      <c r="I299" s="149">
        <v>24430215</v>
      </c>
      <c r="J299" s="487" t="s">
        <v>422</v>
      </c>
    </row>
    <row r="300" spans="1:10" ht="11.15" customHeight="1">
      <c r="A300" s="316"/>
      <c r="B300" s="312"/>
      <c r="F300" s="30">
        <f t="shared" si="8"/>
        <v>0</v>
      </c>
      <c r="H300" s="149"/>
      <c r="I300" s="149"/>
      <c r="J300" s="487"/>
    </row>
    <row r="301" spans="1:10" ht="11.15" customHeight="1">
      <c r="A301" s="316"/>
      <c r="B301" s="312" t="s">
        <v>423</v>
      </c>
      <c r="F301" s="30">
        <f t="shared" si="8"/>
        <v>259389</v>
      </c>
      <c r="H301" s="149">
        <v>259389002</v>
      </c>
      <c r="I301" s="149">
        <v>259389002</v>
      </c>
      <c r="J301" s="487" t="s">
        <v>423</v>
      </c>
    </row>
  </sheetData>
  <customSheetViews>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1"/>
      <headerFooter alignWithMargins="0"/>
    </customSheetView>
    <customSheetView guid="{5BE913A1-B14F-11D2-B0DC-0000832CDFF0}" scale="75" showPageBreaks="1" printArea="1" showRuler="0">
      <pageMargins left="1" right="1" top="0.5" bottom="0.5" header="0.5" footer="0.5"/>
      <printOptions horizontalCentered="1"/>
      <pageSetup scale="89" orientation="portrait" horizontalDpi="300" verticalDpi="300" r:id="rId2"/>
      <headerFooter alignWithMargins="0"/>
    </customSheetView>
  </customSheetViews>
  <mergeCells count="2">
    <mergeCell ref="A3:C3"/>
    <mergeCell ref="A5:C5"/>
  </mergeCells>
  <phoneticPr fontId="0" type="noConversion"/>
  <printOptions horizontalCentered="1"/>
  <pageMargins left="1" right="1" top="0.5" bottom="0.5" header="0.5" footer="0.5"/>
  <pageSetup scale="77" orientation="portrait" horizontalDpi="300" verticalDpi="300" r:id="rId3"/>
  <headerFooter alignWithMargins="0"/>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2016-08-25T22:26:03+00:00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904BC7-2774-46FB-935F-7E447057B587}"/>
</file>

<file path=customXml/itemProps2.xml><?xml version="1.0" encoding="utf-8"?>
<ds:datastoreItem xmlns:ds="http://schemas.openxmlformats.org/officeDocument/2006/customXml" ds:itemID="{97D6D419-7856-4F20-AA5F-862D05FA6ED5}"/>
</file>

<file path=customXml/itemProps3.xml><?xml version="1.0" encoding="utf-8"?>
<ds:datastoreItem xmlns:ds="http://schemas.openxmlformats.org/officeDocument/2006/customXml" ds:itemID="{E3FD1414-1E1F-443D-A1CE-4BAE287FD945}"/>
</file>

<file path=customXml/itemProps4.xml><?xml version="1.0" encoding="utf-8"?>
<ds:datastoreItem xmlns:ds="http://schemas.openxmlformats.org/officeDocument/2006/customXml" ds:itemID="{B7E17DA8-6E57-4A34-8204-71E86EE650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Note </vt:lpstr>
      <vt:lpstr>ROO</vt:lpstr>
      <vt:lpstr>2018 ROO-not used</vt:lpstr>
      <vt:lpstr>RR SUMMARY</vt:lpstr>
      <vt:lpstr>CF</vt:lpstr>
      <vt:lpstr>ADJ DETAIL INPUT</vt:lpstr>
      <vt:lpstr>Recap Summary</vt:lpstr>
      <vt:lpstr>DEBT CALC</vt:lpstr>
      <vt:lpstr>LEAD SHEETS-DO NOT ENTER</vt:lpstr>
      <vt:lpstr>ADJ SUMMARY</vt:lpstr>
      <vt:lpstr>ROO INPUT</vt:lpstr>
      <vt:lpstr>'DEBT CALC'!ID_Elec</vt:lpstr>
      <vt:lpstr>'2018 ROO-not used'!Print_Area</vt:lpstr>
      <vt:lpstr>'ADJ DETAIL INPUT'!Print_Area</vt:lpstr>
      <vt:lpstr>'ADJ SUMMARY'!Print_Area</vt:lpstr>
      <vt:lpstr>CF!Print_Area</vt:lpstr>
      <vt:lpstr>'DEBT CALC'!Print_Area</vt:lpstr>
      <vt:lpstr>'LEAD SHEETS-DO NOT ENTER'!Print_Area</vt:lpstr>
      <vt:lpstr>'Note '!Print_Area</vt:lpstr>
      <vt:lpstr>'Recap Summary'!Print_Area</vt:lpstr>
      <vt:lpstr>ROO!Print_Area</vt:lpstr>
      <vt:lpstr>'ROO INPUT'!Print_Area</vt:lpstr>
      <vt:lpstr>'RR SUMMARY'!Print_Area</vt:lpstr>
      <vt:lpstr>'Recap Summary'!Print_for_CBReport</vt:lpstr>
      <vt:lpstr>'Recap Summary'!Print_for_Checking</vt:lpstr>
      <vt:lpstr>'ADJ DETAIL INPUT'!Print_Titles</vt:lpstr>
      <vt:lpstr>'LEAD SHEETS-DO NOT ENTER'!Print_Titles</vt:lpstr>
      <vt:lpstr>'DEBT CALC'!WA_Elec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 RR Model 8-17</dc:title>
  <dc:creator>Preferred Customer</dc:creator>
  <dc:description/>
  <cp:lastModifiedBy>Huang, Joanna (UTC)</cp:lastModifiedBy>
  <cp:lastPrinted>2016-08-22T23:36:40Z</cp:lastPrinted>
  <dcterms:created xsi:type="dcterms:W3CDTF">1997-05-15T21:41:44Z</dcterms:created>
  <dcterms:modified xsi:type="dcterms:W3CDTF">2016-08-22T23:38:56Z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